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asackson\Downloads\"/>
    </mc:Choice>
  </mc:AlternateContent>
  <xr:revisionPtr revIDLastSave="0" documentId="13_ncr:1_{58BCB964-2FD1-4EA7-BF32-E7B507DAB5E7}" xr6:coauthVersionLast="43" xr6:coauthVersionMax="43" xr10:uidLastSave="{00000000-0000-0000-0000-000000000000}"/>
  <bookViews>
    <workbookView xWindow="-110" yWindow="-110" windowWidth="19420" windowHeight="10420" activeTab="1" xr2:uid="{00000000-000D-0000-FFFF-FFFF00000000}"/>
  </bookViews>
  <sheets>
    <sheet name="Raskin Option" sheetId="1" r:id="rId1"/>
    <sheet name="Tessa Option" sheetId="5" r:id="rId2"/>
    <sheet name="Consolidated " sheetId="6" r:id="rId3"/>
    <sheet name="Sheet1" sheetId="7" r:id="rId4"/>
    <sheet name="Sheet2" sheetId="8" r:id="rId5"/>
  </sheets>
  <definedNames>
    <definedName name="_xlnm.Print_Area" localSheetId="2">'Consolidated '!$A$1:$E$347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4" i="5" l="1"/>
  <c r="C67" i="1"/>
  <c r="C66" i="1"/>
  <c r="C64" i="1"/>
  <c r="C63" i="1"/>
  <c r="C62" i="1"/>
  <c r="C43" i="5"/>
  <c r="C67" i="5" s="1"/>
  <c r="C39" i="5"/>
  <c r="C63" i="5" s="1"/>
  <c r="C40" i="5"/>
  <c r="C64" i="5" s="1"/>
  <c r="C41" i="5"/>
  <c r="C66" i="5" s="1"/>
  <c r="C42" i="5"/>
  <c r="C62" i="5"/>
  <c r="C37" i="5"/>
  <c r="C36" i="5"/>
  <c r="C35" i="5"/>
  <c r="C34" i="5"/>
  <c r="C32" i="5"/>
  <c r="C33" i="5"/>
  <c r="C31" i="5"/>
  <c r="C30" i="5"/>
  <c r="C29" i="5"/>
  <c r="C28" i="5"/>
  <c r="C27" i="5"/>
  <c r="C65" i="5" l="1"/>
  <c r="H102" i="5"/>
  <c r="G96" i="5" l="1"/>
  <c r="H96" i="5" s="1"/>
  <c r="G97" i="5" l="1"/>
  <c r="H97" i="5" s="1"/>
  <c r="D68" i="6"/>
  <c r="C33" i="6"/>
  <c r="C35" i="6"/>
  <c r="C36" i="6"/>
  <c r="C41" i="6"/>
  <c r="C42" i="6"/>
  <c r="C47" i="6"/>
  <c r="B35" i="6"/>
  <c r="B41" i="6"/>
  <c r="D41" i="6" s="1"/>
  <c r="B42" i="6"/>
  <c r="B47" i="6"/>
  <c r="A34" i="6"/>
  <c r="A35" i="6"/>
  <c r="A37" i="6"/>
  <c r="A38" i="6"/>
  <c r="A39" i="6"/>
  <c r="A40" i="6"/>
  <c r="A41" i="6"/>
  <c r="A42" i="6"/>
  <c r="A43" i="6"/>
  <c r="A44" i="6"/>
  <c r="A45" i="6"/>
  <c r="A48" i="6"/>
  <c r="U342" i="6"/>
  <c r="O342" i="6" s="1"/>
  <c r="E342" i="6"/>
  <c r="F342" i="6" s="1"/>
  <c r="C342" i="6"/>
  <c r="U341" i="6"/>
  <c r="O341" i="6" s="1"/>
  <c r="E341" i="6"/>
  <c r="F341" i="6" s="1"/>
  <c r="C341" i="6"/>
  <c r="U340" i="6"/>
  <c r="O340" i="6" s="1"/>
  <c r="E340" i="6"/>
  <c r="F340" i="6" s="1"/>
  <c r="C340" i="6"/>
  <c r="U339" i="6"/>
  <c r="O339" i="6" s="1"/>
  <c r="E339" i="6"/>
  <c r="F339" i="6" s="1"/>
  <c r="G339" i="6" s="1"/>
  <c r="C339" i="6"/>
  <c r="U338" i="6"/>
  <c r="O338" i="6" s="1"/>
  <c r="E338" i="6"/>
  <c r="F338" i="6" s="1"/>
  <c r="C338" i="6"/>
  <c r="U337" i="6"/>
  <c r="O337" i="6" s="1"/>
  <c r="E337" i="6"/>
  <c r="F337" i="6" s="1"/>
  <c r="G337" i="6" s="1"/>
  <c r="C337" i="6"/>
  <c r="U336" i="6"/>
  <c r="O336" i="6" s="1"/>
  <c r="E336" i="6"/>
  <c r="F336" i="6" s="1"/>
  <c r="C336" i="6"/>
  <c r="U335" i="6"/>
  <c r="O335" i="6" s="1"/>
  <c r="E335" i="6"/>
  <c r="F335" i="6" s="1"/>
  <c r="G335" i="6" s="1"/>
  <c r="C335" i="6"/>
  <c r="U334" i="6"/>
  <c r="O334" i="6" s="1"/>
  <c r="E334" i="6"/>
  <c r="F334" i="6" s="1"/>
  <c r="C334" i="6"/>
  <c r="U333" i="6"/>
  <c r="O333" i="6" s="1"/>
  <c r="E333" i="6"/>
  <c r="F333" i="6" s="1"/>
  <c r="C333" i="6"/>
  <c r="U332" i="6"/>
  <c r="O332" i="6" s="1"/>
  <c r="E332" i="6"/>
  <c r="F332" i="6" s="1"/>
  <c r="C332" i="6"/>
  <c r="U331" i="6"/>
  <c r="O331" i="6" s="1"/>
  <c r="E331" i="6"/>
  <c r="F331" i="6" s="1"/>
  <c r="G331" i="6" s="1"/>
  <c r="C331" i="6"/>
  <c r="U330" i="6"/>
  <c r="O330" i="6" s="1"/>
  <c r="E330" i="6"/>
  <c r="F330" i="6" s="1"/>
  <c r="C330" i="6"/>
  <c r="U329" i="6"/>
  <c r="O329" i="6" s="1"/>
  <c r="E329" i="6"/>
  <c r="F329" i="6" s="1"/>
  <c r="G329" i="6" s="1"/>
  <c r="C329" i="6"/>
  <c r="U328" i="6"/>
  <c r="O328" i="6" s="1"/>
  <c r="E328" i="6"/>
  <c r="F328" i="6" s="1"/>
  <c r="C328" i="6"/>
  <c r="U327" i="6"/>
  <c r="O327" i="6" s="1"/>
  <c r="E327" i="6"/>
  <c r="F327" i="6" s="1"/>
  <c r="G327" i="6" s="1"/>
  <c r="C327" i="6"/>
  <c r="U326" i="6"/>
  <c r="O326" i="6" s="1"/>
  <c r="E326" i="6"/>
  <c r="F326" i="6" s="1"/>
  <c r="C326" i="6"/>
  <c r="U325" i="6"/>
  <c r="O325" i="6" s="1"/>
  <c r="E325" i="6"/>
  <c r="F325" i="6" s="1"/>
  <c r="C325" i="6"/>
  <c r="U324" i="6"/>
  <c r="O324" i="6" s="1"/>
  <c r="E324" i="6"/>
  <c r="F324" i="6" s="1"/>
  <c r="C324" i="6"/>
  <c r="U323" i="6"/>
  <c r="O323" i="6"/>
  <c r="E323" i="6"/>
  <c r="F323" i="6" s="1"/>
  <c r="G323" i="6" s="1"/>
  <c r="C323" i="6"/>
  <c r="U322" i="6"/>
  <c r="O322" i="6" s="1"/>
  <c r="E322" i="6"/>
  <c r="F322" i="6" s="1"/>
  <c r="C322" i="6"/>
  <c r="U321" i="6"/>
  <c r="O321" i="6" s="1"/>
  <c r="E321" i="6"/>
  <c r="F321" i="6" s="1"/>
  <c r="C321" i="6"/>
  <c r="U320" i="6"/>
  <c r="O320" i="6" s="1"/>
  <c r="E320" i="6"/>
  <c r="F320" i="6" s="1"/>
  <c r="C320" i="6"/>
  <c r="U319" i="6"/>
  <c r="O319" i="6" s="1"/>
  <c r="E319" i="6"/>
  <c r="F319" i="6" s="1"/>
  <c r="G319" i="6" s="1"/>
  <c r="C319" i="6"/>
  <c r="U318" i="6"/>
  <c r="O318" i="6" s="1"/>
  <c r="E318" i="6"/>
  <c r="F318" i="6" s="1"/>
  <c r="C318" i="6"/>
  <c r="U317" i="6"/>
  <c r="O317" i="6" s="1"/>
  <c r="E317" i="6"/>
  <c r="F317" i="6" s="1"/>
  <c r="C317" i="6"/>
  <c r="U313" i="6"/>
  <c r="O313" i="6" s="1"/>
  <c r="E313" i="6"/>
  <c r="F313" i="6" s="1"/>
  <c r="C313" i="6"/>
  <c r="U312" i="6"/>
  <c r="O312" i="6" s="1"/>
  <c r="E312" i="6"/>
  <c r="F312" i="6" s="1"/>
  <c r="G312" i="6" s="1"/>
  <c r="C312" i="6"/>
  <c r="U311" i="6"/>
  <c r="O311" i="6" s="1"/>
  <c r="E311" i="6"/>
  <c r="F311" i="6" s="1"/>
  <c r="C311" i="6"/>
  <c r="U310" i="6"/>
  <c r="O310" i="6" s="1"/>
  <c r="E310" i="6"/>
  <c r="F310" i="6" s="1"/>
  <c r="C310" i="6"/>
  <c r="U309" i="6"/>
  <c r="O309" i="6" s="1"/>
  <c r="E309" i="6"/>
  <c r="F309" i="6" s="1"/>
  <c r="C309" i="6"/>
  <c r="U308" i="6"/>
  <c r="O308" i="6" s="1"/>
  <c r="E308" i="6"/>
  <c r="F308" i="6" s="1"/>
  <c r="G308" i="6" s="1"/>
  <c r="C308" i="6"/>
  <c r="U307" i="6"/>
  <c r="O307" i="6" s="1"/>
  <c r="E307" i="6"/>
  <c r="F307" i="6" s="1"/>
  <c r="C307" i="6"/>
  <c r="U306" i="6"/>
  <c r="O306" i="6" s="1"/>
  <c r="E306" i="6"/>
  <c r="F306" i="6" s="1"/>
  <c r="C306" i="6"/>
  <c r="U305" i="6"/>
  <c r="O305" i="6" s="1"/>
  <c r="E305" i="6"/>
  <c r="F305" i="6" s="1"/>
  <c r="C305" i="6"/>
  <c r="U304" i="6"/>
  <c r="O304" i="6" s="1"/>
  <c r="E304" i="6"/>
  <c r="F304" i="6" s="1"/>
  <c r="G304" i="6" s="1"/>
  <c r="C304" i="6"/>
  <c r="U303" i="6"/>
  <c r="O303" i="6" s="1"/>
  <c r="E303" i="6"/>
  <c r="F303" i="6" s="1"/>
  <c r="C303" i="6"/>
  <c r="U302" i="6"/>
  <c r="O302" i="6" s="1"/>
  <c r="E302" i="6"/>
  <c r="F302" i="6" s="1"/>
  <c r="G302" i="6" s="1"/>
  <c r="C302" i="6"/>
  <c r="U301" i="6"/>
  <c r="O301" i="6" s="1"/>
  <c r="E301" i="6"/>
  <c r="F301" i="6" s="1"/>
  <c r="C301" i="6"/>
  <c r="U300" i="6"/>
  <c r="O300" i="6" s="1"/>
  <c r="E300" i="6"/>
  <c r="F300" i="6" s="1"/>
  <c r="G300" i="6" s="1"/>
  <c r="C300" i="6"/>
  <c r="U299" i="6"/>
  <c r="O299" i="6" s="1"/>
  <c r="E299" i="6"/>
  <c r="F299" i="6" s="1"/>
  <c r="C299" i="6"/>
  <c r="U298" i="6"/>
  <c r="O298" i="6" s="1"/>
  <c r="E298" i="6"/>
  <c r="F298" i="6" s="1"/>
  <c r="C298" i="6"/>
  <c r="U297" i="6"/>
  <c r="O297" i="6" s="1"/>
  <c r="E297" i="6"/>
  <c r="F297" i="6" s="1"/>
  <c r="C297" i="6"/>
  <c r="U296" i="6"/>
  <c r="O296" i="6" s="1"/>
  <c r="E296" i="6"/>
  <c r="F296" i="6" s="1"/>
  <c r="G296" i="6" s="1"/>
  <c r="C296" i="6"/>
  <c r="U295" i="6"/>
  <c r="O295" i="6" s="1"/>
  <c r="E295" i="6"/>
  <c r="F295" i="6" s="1"/>
  <c r="C295" i="6"/>
  <c r="U294" i="6"/>
  <c r="O294" i="6" s="1"/>
  <c r="E294" i="6"/>
  <c r="F294" i="6" s="1"/>
  <c r="G294" i="6" s="1"/>
  <c r="C294" i="6"/>
  <c r="U293" i="6"/>
  <c r="O293" i="6" s="1"/>
  <c r="E293" i="6"/>
  <c r="F293" i="6" s="1"/>
  <c r="C293" i="6"/>
  <c r="U292" i="6"/>
  <c r="O292" i="6" s="1"/>
  <c r="E292" i="6"/>
  <c r="F292" i="6" s="1"/>
  <c r="G292" i="6" s="1"/>
  <c r="C292" i="6"/>
  <c r="U291" i="6"/>
  <c r="O291" i="6" s="1"/>
  <c r="E291" i="6"/>
  <c r="F291" i="6" s="1"/>
  <c r="C291" i="6"/>
  <c r="U290" i="6"/>
  <c r="O290" i="6" s="1"/>
  <c r="E290" i="6"/>
  <c r="F290" i="6" s="1"/>
  <c r="C290" i="6"/>
  <c r="U289" i="6"/>
  <c r="O289" i="6" s="1"/>
  <c r="E289" i="6"/>
  <c r="F289" i="6" s="1"/>
  <c r="C289" i="6"/>
  <c r="U282" i="6"/>
  <c r="O282" i="6" s="1"/>
  <c r="E282" i="6"/>
  <c r="F282" i="6" s="1"/>
  <c r="G282" i="6" s="1"/>
  <c r="C282" i="6"/>
  <c r="U281" i="6"/>
  <c r="O281" i="6" s="1"/>
  <c r="E281" i="6"/>
  <c r="F281" i="6" s="1"/>
  <c r="C281" i="6"/>
  <c r="U280" i="6"/>
  <c r="O280" i="6" s="1"/>
  <c r="E280" i="6"/>
  <c r="F280" i="6" s="1"/>
  <c r="C280" i="6"/>
  <c r="U279" i="6"/>
  <c r="O279" i="6" s="1"/>
  <c r="E279" i="6"/>
  <c r="F279" i="6" s="1"/>
  <c r="C279" i="6"/>
  <c r="U278" i="6"/>
  <c r="O278" i="6" s="1"/>
  <c r="E278" i="6"/>
  <c r="F278" i="6" s="1"/>
  <c r="G278" i="6" s="1"/>
  <c r="C278" i="6"/>
  <c r="U277" i="6"/>
  <c r="O277" i="6" s="1"/>
  <c r="E277" i="6"/>
  <c r="F277" i="6" s="1"/>
  <c r="C277" i="6"/>
  <c r="U276" i="6"/>
  <c r="O276" i="6" s="1"/>
  <c r="E276" i="6"/>
  <c r="F276" i="6" s="1"/>
  <c r="C276" i="6"/>
  <c r="U275" i="6"/>
  <c r="O275" i="6" s="1"/>
  <c r="E275" i="6"/>
  <c r="F275" i="6" s="1"/>
  <c r="C275" i="6"/>
  <c r="U274" i="6"/>
  <c r="O274" i="6" s="1"/>
  <c r="E274" i="6"/>
  <c r="F274" i="6" s="1"/>
  <c r="G274" i="6" s="1"/>
  <c r="C274" i="6"/>
  <c r="U273" i="6"/>
  <c r="O273" i="6" s="1"/>
  <c r="E273" i="6"/>
  <c r="F273" i="6" s="1"/>
  <c r="C273" i="6"/>
  <c r="U272" i="6"/>
  <c r="O272" i="6"/>
  <c r="E272" i="6"/>
  <c r="F272" i="6" s="1"/>
  <c r="C272" i="6"/>
  <c r="U271" i="6"/>
  <c r="O271" i="6" s="1"/>
  <c r="E271" i="6"/>
  <c r="F271" i="6" s="1"/>
  <c r="C271" i="6"/>
  <c r="U270" i="6"/>
  <c r="O270" i="6" s="1"/>
  <c r="E270" i="6"/>
  <c r="F270" i="6" s="1"/>
  <c r="G270" i="6" s="1"/>
  <c r="C270" i="6"/>
  <c r="U269" i="6"/>
  <c r="O269" i="6" s="1"/>
  <c r="E269" i="6"/>
  <c r="F269" i="6" s="1"/>
  <c r="C269" i="6"/>
  <c r="U268" i="6"/>
  <c r="O268" i="6" s="1"/>
  <c r="E268" i="6"/>
  <c r="F268" i="6" s="1"/>
  <c r="C268" i="6"/>
  <c r="U267" i="6"/>
  <c r="O267" i="6" s="1"/>
  <c r="E267" i="6"/>
  <c r="F267" i="6" s="1"/>
  <c r="C267" i="6"/>
  <c r="U266" i="6"/>
  <c r="O266" i="6" s="1"/>
  <c r="E266" i="6"/>
  <c r="F266" i="6" s="1"/>
  <c r="G266" i="6" s="1"/>
  <c r="C266" i="6"/>
  <c r="U265" i="6"/>
  <c r="O265" i="6" s="1"/>
  <c r="E265" i="6"/>
  <c r="F265" i="6" s="1"/>
  <c r="C265" i="6"/>
  <c r="U264" i="6"/>
  <c r="O264" i="6" s="1"/>
  <c r="E264" i="6"/>
  <c r="F264" i="6" s="1"/>
  <c r="G264" i="6" s="1"/>
  <c r="C264" i="6"/>
  <c r="U263" i="6"/>
  <c r="O263" i="6" s="1"/>
  <c r="E263" i="6"/>
  <c r="F263" i="6" s="1"/>
  <c r="C263" i="6"/>
  <c r="U262" i="6"/>
  <c r="O262" i="6" s="1"/>
  <c r="E262" i="6"/>
  <c r="F262" i="6" s="1"/>
  <c r="G262" i="6" s="1"/>
  <c r="C262" i="6"/>
  <c r="U261" i="6"/>
  <c r="O261" i="6" s="1"/>
  <c r="E261" i="6"/>
  <c r="F261" i="6" s="1"/>
  <c r="C261" i="6"/>
  <c r="U260" i="6"/>
  <c r="O260" i="6" s="1"/>
  <c r="E260" i="6"/>
  <c r="F260" i="6" s="1"/>
  <c r="C260" i="6"/>
  <c r="U259" i="6"/>
  <c r="O259" i="6" s="1"/>
  <c r="E259" i="6"/>
  <c r="F259" i="6" s="1"/>
  <c r="C259" i="6"/>
  <c r="U258" i="6"/>
  <c r="O258" i="6" s="1"/>
  <c r="E258" i="6"/>
  <c r="F258" i="6" s="1"/>
  <c r="G258" i="6" s="1"/>
  <c r="C258" i="6"/>
  <c r="U257" i="6"/>
  <c r="O257" i="6" s="1"/>
  <c r="E257" i="6"/>
  <c r="F257" i="6" s="1"/>
  <c r="C257" i="6"/>
  <c r="G171" i="6"/>
  <c r="G170" i="6"/>
  <c r="G169" i="6"/>
  <c r="J148" i="6"/>
  <c r="J156" i="6" s="1"/>
  <c r="G156" i="6" s="1"/>
  <c r="G148" i="6"/>
  <c r="G147" i="6"/>
  <c r="G141" i="6"/>
  <c r="G140" i="6"/>
  <c r="G139" i="6"/>
  <c r="G138" i="6"/>
  <c r="J117" i="6"/>
  <c r="J137" i="6" s="1"/>
  <c r="G137" i="6" s="1"/>
  <c r="G116" i="6"/>
  <c r="G106" i="6"/>
  <c r="G105" i="6"/>
  <c r="G104" i="6"/>
  <c r="G103" i="6"/>
  <c r="J102" i="6"/>
  <c r="G102" i="6" s="1"/>
  <c r="J101" i="6"/>
  <c r="G101" i="6" s="1"/>
  <c r="J100" i="6"/>
  <c r="G100" i="6" s="1"/>
  <c r="J99" i="6"/>
  <c r="G99" i="6" s="1"/>
  <c r="J98" i="6"/>
  <c r="G98" i="6" s="1"/>
  <c r="J97" i="6"/>
  <c r="G97" i="6" s="1"/>
  <c r="J96" i="6"/>
  <c r="G96" i="6" s="1"/>
  <c r="J95" i="6"/>
  <c r="G95" i="6" s="1"/>
  <c r="J94" i="6"/>
  <c r="G94" i="6" s="1"/>
  <c r="J93" i="6"/>
  <c r="G93" i="6" s="1"/>
  <c r="J92" i="6"/>
  <c r="G92" i="6" s="1"/>
  <c r="J91" i="6"/>
  <c r="G91" i="6" s="1"/>
  <c r="J90" i="6"/>
  <c r="G90" i="6" s="1"/>
  <c r="J89" i="6"/>
  <c r="G89" i="6" s="1"/>
  <c r="J88" i="6"/>
  <c r="G88" i="6" s="1"/>
  <c r="J87" i="6"/>
  <c r="G87" i="6" s="1"/>
  <c r="J86" i="6"/>
  <c r="G86" i="6" s="1"/>
  <c r="J85" i="6"/>
  <c r="G85" i="6" s="1"/>
  <c r="J84" i="6"/>
  <c r="G84" i="6" s="1"/>
  <c r="J83" i="6"/>
  <c r="G83" i="6" s="1"/>
  <c r="G82" i="6"/>
  <c r="G81" i="6"/>
  <c r="B19" i="6"/>
  <c r="C15" i="6"/>
  <c r="B14" i="6"/>
  <c r="P9" i="6"/>
  <c r="B15" i="6" s="1"/>
  <c r="O9" i="6"/>
  <c r="N9" i="6"/>
  <c r="L9" i="6"/>
  <c r="K9" i="6"/>
  <c r="J9" i="6"/>
  <c r="I9" i="6"/>
  <c r="H9" i="6"/>
  <c r="M7" i="6"/>
  <c r="Q7" i="6" s="1"/>
  <c r="M6" i="6"/>
  <c r="M5" i="6"/>
  <c r="Q5" i="6" s="1"/>
  <c r="E53" i="1"/>
  <c r="B20" i="1"/>
  <c r="B18" i="1"/>
  <c r="G98" i="5" l="1"/>
  <c r="J152" i="6"/>
  <c r="G152" i="6" s="1"/>
  <c r="J292" i="6"/>
  <c r="B36" i="6"/>
  <c r="D36" i="6" s="1"/>
  <c r="J327" i="6"/>
  <c r="J262" i="6"/>
  <c r="J310" i="6"/>
  <c r="G99" i="5"/>
  <c r="H98" i="5"/>
  <c r="C79" i="5" s="1"/>
  <c r="C62" i="6" s="1"/>
  <c r="D35" i="6"/>
  <c r="J160" i="6"/>
  <c r="G160" i="6" s="1"/>
  <c r="J296" i="6"/>
  <c r="J164" i="6"/>
  <c r="G164" i="6" s="1"/>
  <c r="J150" i="6"/>
  <c r="G150" i="6" s="1"/>
  <c r="J278" i="6"/>
  <c r="J300" i="6"/>
  <c r="D47" i="6"/>
  <c r="D42" i="6"/>
  <c r="J135" i="6"/>
  <c r="G135" i="6" s="1"/>
  <c r="M9" i="6"/>
  <c r="B17" i="6"/>
  <c r="J119" i="6"/>
  <c r="G119" i="6" s="1"/>
  <c r="J268" i="6"/>
  <c r="J331" i="6"/>
  <c r="J122" i="6"/>
  <c r="G122" i="6" s="1"/>
  <c r="J306" i="6"/>
  <c r="G117" i="6"/>
  <c r="J127" i="6"/>
  <c r="G127" i="6" s="1"/>
  <c r="J258" i="6"/>
  <c r="J272" i="6"/>
  <c r="J319" i="6"/>
  <c r="J335" i="6"/>
  <c r="J341" i="6"/>
  <c r="J276" i="6"/>
  <c r="J280" i="6"/>
  <c r="J317" i="6"/>
  <c r="J130" i="6"/>
  <c r="G130" i="6" s="1"/>
  <c r="J260" i="6"/>
  <c r="J264" i="6"/>
  <c r="J270" i="6"/>
  <c r="J282" i="6"/>
  <c r="J298" i="6"/>
  <c r="J302" i="6"/>
  <c r="J308" i="6"/>
  <c r="J323" i="6"/>
  <c r="J333" i="6"/>
  <c r="J337" i="6"/>
  <c r="J266" i="6"/>
  <c r="G272" i="6"/>
  <c r="J304" i="6"/>
  <c r="G310" i="6"/>
  <c r="J321" i="6"/>
  <c r="J339" i="6"/>
  <c r="J274" i="6"/>
  <c r="G280" i="6"/>
  <c r="J290" i="6"/>
  <c r="J294" i="6"/>
  <c r="J312" i="6"/>
  <c r="G321" i="6"/>
  <c r="J325" i="6"/>
  <c r="J329" i="6"/>
  <c r="Q6" i="6"/>
  <c r="Q9" i="6" s="1"/>
  <c r="B16" i="6" s="1"/>
  <c r="G275" i="6"/>
  <c r="J275" i="6"/>
  <c r="G313" i="6"/>
  <c r="J313" i="6"/>
  <c r="G289" i="6"/>
  <c r="J289" i="6"/>
  <c r="G324" i="6"/>
  <c r="J324" i="6"/>
  <c r="G259" i="6"/>
  <c r="J259" i="6"/>
  <c r="G297" i="6"/>
  <c r="J297" i="6"/>
  <c r="G332" i="6"/>
  <c r="J332" i="6"/>
  <c r="G267" i="6"/>
  <c r="J267" i="6"/>
  <c r="G305" i="6"/>
  <c r="J305" i="6"/>
  <c r="G340" i="6"/>
  <c r="J340" i="6"/>
  <c r="G263" i="6"/>
  <c r="J263" i="6"/>
  <c r="G271" i="6"/>
  <c r="J271" i="6"/>
  <c r="G279" i="6"/>
  <c r="J279" i="6"/>
  <c r="G293" i="6"/>
  <c r="J293" i="6"/>
  <c r="G301" i="6"/>
  <c r="J301" i="6"/>
  <c r="G309" i="6"/>
  <c r="J309" i="6"/>
  <c r="G320" i="6"/>
  <c r="J320" i="6"/>
  <c r="G328" i="6"/>
  <c r="J328" i="6"/>
  <c r="G336" i="6"/>
  <c r="J336" i="6"/>
  <c r="J120" i="6"/>
  <c r="G120" i="6" s="1"/>
  <c r="J125" i="6"/>
  <c r="G125" i="6" s="1"/>
  <c r="J128" i="6"/>
  <c r="G128" i="6" s="1"/>
  <c r="J133" i="6"/>
  <c r="G133" i="6" s="1"/>
  <c r="J136" i="6"/>
  <c r="G136" i="6" s="1"/>
  <c r="J257" i="6"/>
  <c r="G257" i="6"/>
  <c r="J265" i="6"/>
  <c r="G265" i="6"/>
  <c r="J273" i="6"/>
  <c r="G273" i="6"/>
  <c r="J281" i="6"/>
  <c r="G281" i="6"/>
  <c r="J295" i="6"/>
  <c r="G295" i="6"/>
  <c r="J303" i="6"/>
  <c r="G303" i="6"/>
  <c r="J311" i="6"/>
  <c r="G311" i="6"/>
  <c r="J322" i="6"/>
  <c r="G322" i="6"/>
  <c r="J330" i="6"/>
  <c r="G330" i="6"/>
  <c r="J338" i="6"/>
  <c r="G338" i="6"/>
  <c r="J118" i="6"/>
  <c r="G118" i="6" s="1"/>
  <c r="J123" i="6"/>
  <c r="G123" i="6" s="1"/>
  <c r="J126" i="6"/>
  <c r="G126" i="6" s="1"/>
  <c r="J131" i="6"/>
  <c r="G131" i="6" s="1"/>
  <c r="J134" i="6"/>
  <c r="G134" i="6" s="1"/>
  <c r="J167" i="6"/>
  <c r="G167" i="6" s="1"/>
  <c r="J165" i="6"/>
  <c r="G165" i="6" s="1"/>
  <c r="J163" i="6"/>
  <c r="G163" i="6" s="1"/>
  <c r="J161" i="6"/>
  <c r="G161" i="6" s="1"/>
  <c r="J159" i="6"/>
  <c r="G159" i="6" s="1"/>
  <c r="J157" i="6"/>
  <c r="G157" i="6" s="1"/>
  <c r="J155" i="6"/>
  <c r="G155" i="6" s="1"/>
  <c r="J153" i="6"/>
  <c r="G153" i="6" s="1"/>
  <c r="J166" i="6"/>
  <c r="G166" i="6" s="1"/>
  <c r="J158" i="6"/>
  <c r="G158" i="6" s="1"/>
  <c r="J168" i="6"/>
  <c r="G168" i="6" s="1"/>
  <c r="J151" i="6"/>
  <c r="G151" i="6" s="1"/>
  <c r="J154" i="6"/>
  <c r="G154" i="6" s="1"/>
  <c r="G260" i="6"/>
  <c r="G268" i="6"/>
  <c r="G276" i="6"/>
  <c r="G290" i="6"/>
  <c r="G298" i="6"/>
  <c r="G306" i="6"/>
  <c r="G317" i="6"/>
  <c r="G325" i="6"/>
  <c r="G333" i="6"/>
  <c r="G341" i="6"/>
  <c r="G107" i="6"/>
  <c r="J121" i="6"/>
  <c r="G121" i="6" s="1"/>
  <c r="J124" i="6"/>
  <c r="G124" i="6" s="1"/>
  <c r="J129" i="6"/>
  <c r="G129" i="6" s="1"/>
  <c r="J132" i="6"/>
  <c r="G132" i="6" s="1"/>
  <c r="J149" i="6"/>
  <c r="G149" i="6" s="1"/>
  <c r="J162" i="6"/>
  <c r="G162" i="6" s="1"/>
  <c r="J261" i="6"/>
  <c r="G261" i="6"/>
  <c r="J269" i="6"/>
  <c r="G269" i="6"/>
  <c r="J277" i="6"/>
  <c r="G277" i="6"/>
  <c r="J291" i="6"/>
  <c r="G291" i="6"/>
  <c r="J299" i="6"/>
  <c r="G299" i="6"/>
  <c r="J307" i="6"/>
  <c r="G307" i="6"/>
  <c r="J318" i="6"/>
  <c r="G318" i="6"/>
  <c r="J326" i="6"/>
  <c r="G326" i="6"/>
  <c r="J334" i="6"/>
  <c r="G334" i="6"/>
  <c r="J342" i="6"/>
  <c r="G342" i="6"/>
  <c r="B77" i="5"/>
  <c r="B78" i="5"/>
  <c r="B79" i="5"/>
  <c r="B80" i="5"/>
  <c r="B81" i="5"/>
  <c r="B82" i="5"/>
  <c r="B83" i="5"/>
  <c r="B76" i="5"/>
  <c r="C77" i="5"/>
  <c r="C78" i="5"/>
  <c r="C61" i="6" s="1"/>
  <c r="I102" i="5"/>
  <c r="H95" i="5"/>
  <c r="I95" i="5" s="1"/>
  <c r="J96" i="5"/>
  <c r="J97" i="5"/>
  <c r="J98" i="5"/>
  <c r="J99" i="5"/>
  <c r="J100" i="5"/>
  <c r="J101" i="5"/>
  <c r="J102" i="5"/>
  <c r="J95" i="5"/>
  <c r="B103" i="5"/>
  <c r="K66" i="5"/>
  <c r="B51" i="5"/>
  <c r="E51" i="5" s="1"/>
  <c r="E51" i="1" s="1"/>
  <c r="B14" i="5"/>
  <c r="B14" i="1" s="1"/>
  <c r="B19" i="5"/>
  <c r="B19" i="1" s="1"/>
  <c r="Q15" i="5"/>
  <c r="O9" i="5"/>
  <c r="N9" i="5"/>
  <c r="P9" i="5"/>
  <c r="B15" i="5" s="1"/>
  <c r="M6" i="5"/>
  <c r="Q6" i="5" s="1"/>
  <c r="M7" i="5"/>
  <c r="Q7" i="5" s="1"/>
  <c r="M5" i="5"/>
  <c r="Q5" i="5" s="1"/>
  <c r="I9" i="5"/>
  <c r="K9" i="5"/>
  <c r="L9" i="5"/>
  <c r="H9" i="5"/>
  <c r="J9" i="5"/>
  <c r="B60" i="6" l="1"/>
  <c r="C34" i="6"/>
  <c r="G100" i="5"/>
  <c r="H99" i="5"/>
  <c r="C80" i="5" s="1"/>
  <c r="C63" i="6" s="1"/>
  <c r="I98" i="5"/>
  <c r="A59" i="6"/>
  <c r="A62" i="6"/>
  <c r="B76" i="1"/>
  <c r="B59" i="6"/>
  <c r="B80" i="1"/>
  <c r="B63" i="6"/>
  <c r="A65" i="6"/>
  <c r="C77" i="1"/>
  <c r="C60" i="6"/>
  <c r="A64" i="6"/>
  <c r="A60" i="6"/>
  <c r="B82" i="1"/>
  <c r="B65" i="6"/>
  <c r="B78" i="1"/>
  <c r="B61" i="6"/>
  <c r="D61" i="6" s="1"/>
  <c r="E61" i="6" s="1"/>
  <c r="A61" i="6"/>
  <c r="B83" i="1"/>
  <c r="B66" i="6"/>
  <c r="B79" i="1"/>
  <c r="E79" i="1" s="1"/>
  <c r="B62" i="6"/>
  <c r="D62" i="6" s="1"/>
  <c r="E62" i="6" s="1"/>
  <c r="J103" i="5"/>
  <c r="A63" i="6"/>
  <c r="A66" i="6"/>
  <c r="B81" i="1"/>
  <c r="B64" i="6"/>
  <c r="G172" i="6"/>
  <c r="G142" i="6"/>
  <c r="B84" i="5"/>
  <c r="B77" i="1"/>
  <c r="D79" i="5"/>
  <c r="E79" i="5" s="1"/>
  <c r="C79" i="1"/>
  <c r="B15" i="1"/>
  <c r="D78" i="5"/>
  <c r="E78" i="5" s="1"/>
  <c r="C78" i="1"/>
  <c r="D77" i="5"/>
  <c r="E77" i="5" s="1"/>
  <c r="B17" i="5"/>
  <c r="B17" i="1" s="1"/>
  <c r="C83" i="5"/>
  <c r="C66" i="6" s="1"/>
  <c r="C76" i="5"/>
  <c r="C59" i="6" s="1"/>
  <c r="I97" i="5"/>
  <c r="I96" i="5"/>
  <c r="M9" i="5"/>
  <c r="Q9" i="5"/>
  <c r="B16" i="5" s="1"/>
  <c r="C206" i="1"/>
  <c r="B206" i="1"/>
  <c r="C80" i="1" l="1"/>
  <c r="I99" i="5"/>
  <c r="D80" i="5"/>
  <c r="E80" i="5" s="1"/>
  <c r="D63" i="6"/>
  <c r="E63" i="6" s="1"/>
  <c r="C49" i="5"/>
  <c r="E49" i="5" s="1"/>
  <c r="C32" i="6" s="1"/>
  <c r="G101" i="5"/>
  <c r="H101" i="5" s="1"/>
  <c r="H100" i="5"/>
  <c r="D66" i="6"/>
  <c r="E66" i="6" s="1"/>
  <c r="D60" i="6"/>
  <c r="E60" i="6" s="1"/>
  <c r="D59" i="6"/>
  <c r="E59" i="6" s="1"/>
  <c r="E77" i="1"/>
  <c r="D79" i="1"/>
  <c r="D77" i="1"/>
  <c r="B67" i="6"/>
  <c r="E78" i="1"/>
  <c r="D78" i="1"/>
  <c r="E80" i="1"/>
  <c r="D80" i="1"/>
  <c r="D76" i="5"/>
  <c r="E76" i="5" s="1"/>
  <c r="C76" i="1"/>
  <c r="D76" i="1" s="1"/>
  <c r="J49" i="5"/>
  <c r="B16" i="1"/>
  <c r="C49" i="1" s="1"/>
  <c r="E49" i="1" s="1"/>
  <c r="D83" i="5"/>
  <c r="E83" i="5" s="1"/>
  <c r="C83" i="1"/>
  <c r="C59" i="1"/>
  <c r="H106" i="1"/>
  <c r="I101" i="5" l="1"/>
  <c r="C82" i="5"/>
  <c r="B32" i="6"/>
  <c r="D32" i="6" s="1"/>
  <c r="I100" i="5"/>
  <c r="I103" i="5" s="1"/>
  <c r="I105" i="5" s="1"/>
  <c r="C81" i="5"/>
  <c r="B68" i="6"/>
  <c r="B69" i="6" s="1"/>
  <c r="C16" i="6"/>
  <c r="C17" i="6"/>
  <c r="E83" i="1"/>
  <c r="D83" i="1"/>
  <c r="U371" i="5"/>
  <c r="O371" i="5" s="1"/>
  <c r="E371" i="5"/>
  <c r="F371" i="5" s="1"/>
  <c r="C371" i="5"/>
  <c r="U370" i="5"/>
  <c r="O370" i="5" s="1"/>
  <c r="E370" i="5"/>
  <c r="F370" i="5" s="1"/>
  <c r="G370" i="5" s="1"/>
  <c r="C370" i="5"/>
  <c r="U369" i="5"/>
  <c r="O369" i="5" s="1"/>
  <c r="E369" i="5"/>
  <c r="F369" i="5" s="1"/>
  <c r="C369" i="5"/>
  <c r="U368" i="5"/>
  <c r="O368" i="5" s="1"/>
  <c r="E368" i="5"/>
  <c r="F368" i="5" s="1"/>
  <c r="G368" i="5" s="1"/>
  <c r="C368" i="5"/>
  <c r="U367" i="5"/>
  <c r="O367" i="5" s="1"/>
  <c r="E367" i="5"/>
  <c r="F367" i="5" s="1"/>
  <c r="C367" i="5"/>
  <c r="U366" i="5"/>
  <c r="O366" i="5" s="1"/>
  <c r="E366" i="5"/>
  <c r="F366" i="5" s="1"/>
  <c r="G366" i="5" s="1"/>
  <c r="C366" i="5"/>
  <c r="U365" i="5"/>
  <c r="O365" i="5" s="1"/>
  <c r="E365" i="5"/>
  <c r="F365" i="5" s="1"/>
  <c r="G365" i="5" s="1"/>
  <c r="C365" i="5"/>
  <c r="U364" i="5"/>
  <c r="O364" i="5" s="1"/>
  <c r="E364" i="5"/>
  <c r="F364" i="5" s="1"/>
  <c r="C364" i="5"/>
  <c r="U363" i="5"/>
  <c r="O363" i="5" s="1"/>
  <c r="E363" i="5"/>
  <c r="F363" i="5" s="1"/>
  <c r="C363" i="5"/>
  <c r="U362" i="5"/>
  <c r="O362" i="5" s="1"/>
  <c r="E362" i="5"/>
  <c r="F362" i="5" s="1"/>
  <c r="G362" i="5" s="1"/>
  <c r="C362" i="5"/>
  <c r="U361" i="5"/>
  <c r="O361" i="5" s="1"/>
  <c r="E361" i="5"/>
  <c r="F361" i="5" s="1"/>
  <c r="C361" i="5"/>
  <c r="U360" i="5"/>
  <c r="O360" i="5" s="1"/>
  <c r="E360" i="5"/>
  <c r="F360" i="5" s="1"/>
  <c r="G360" i="5" s="1"/>
  <c r="C360" i="5"/>
  <c r="U359" i="5"/>
  <c r="O359" i="5" s="1"/>
  <c r="E359" i="5"/>
  <c r="F359" i="5" s="1"/>
  <c r="C359" i="5"/>
  <c r="U358" i="5"/>
  <c r="O358" i="5" s="1"/>
  <c r="E358" i="5"/>
  <c r="F358" i="5" s="1"/>
  <c r="G358" i="5" s="1"/>
  <c r="C358" i="5"/>
  <c r="U357" i="5"/>
  <c r="O357" i="5" s="1"/>
  <c r="E357" i="5"/>
  <c r="F357" i="5" s="1"/>
  <c r="C357" i="5"/>
  <c r="U356" i="5"/>
  <c r="O356" i="5" s="1"/>
  <c r="E356" i="5"/>
  <c r="F356" i="5" s="1"/>
  <c r="G356" i="5" s="1"/>
  <c r="C356" i="5"/>
  <c r="U355" i="5"/>
  <c r="O355" i="5" s="1"/>
  <c r="E355" i="5"/>
  <c r="F355" i="5" s="1"/>
  <c r="C355" i="5"/>
  <c r="U354" i="5"/>
  <c r="O354" i="5" s="1"/>
  <c r="E354" i="5"/>
  <c r="F354" i="5" s="1"/>
  <c r="G354" i="5" s="1"/>
  <c r="C354" i="5"/>
  <c r="U353" i="5"/>
  <c r="O353" i="5" s="1"/>
  <c r="E353" i="5"/>
  <c r="F353" i="5" s="1"/>
  <c r="C353" i="5"/>
  <c r="U352" i="5"/>
  <c r="O352" i="5" s="1"/>
  <c r="E352" i="5"/>
  <c r="F352" i="5" s="1"/>
  <c r="G352" i="5" s="1"/>
  <c r="C352" i="5"/>
  <c r="U351" i="5"/>
  <c r="O351" i="5" s="1"/>
  <c r="E351" i="5"/>
  <c r="F351" i="5" s="1"/>
  <c r="C351" i="5"/>
  <c r="U350" i="5"/>
  <c r="O350" i="5" s="1"/>
  <c r="E350" i="5"/>
  <c r="F350" i="5" s="1"/>
  <c r="G350" i="5" s="1"/>
  <c r="C350" i="5"/>
  <c r="U349" i="5"/>
  <c r="O349" i="5" s="1"/>
  <c r="E349" i="5"/>
  <c r="F349" i="5" s="1"/>
  <c r="G349" i="5" s="1"/>
  <c r="C349" i="5"/>
  <c r="U348" i="5"/>
  <c r="O348" i="5" s="1"/>
  <c r="E348" i="5"/>
  <c r="F348" i="5" s="1"/>
  <c r="C348" i="5"/>
  <c r="U347" i="5"/>
  <c r="O347" i="5" s="1"/>
  <c r="E347" i="5"/>
  <c r="F347" i="5" s="1"/>
  <c r="C347" i="5"/>
  <c r="U346" i="5"/>
  <c r="O346" i="5" s="1"/>
  <c r="E346" i="5"/>
  <c r="F346" i="5" s="1"/>
  <c r="G346" i="5" s="1"/>
  <c r="C346" i="5"/>
  <c r="U342" i="5"/>
  <c r="O342" i="5" s="1"/>
  <c r="E342" i="5"/>
  <c r="F342" i="5" s="1"/>
  <c r="C342" i="5"/>
  <c r="U341" i="5"/>
  <c r="O341" i="5" s="1"/>
  <c r="E341" i="5"/>
  <c r="F341" i="5" s="1"/>
  <c r="G341" i="5" s="1"/>
  <c r="C341" i="5"/>
  <c r="U340" i="5"/>
  <c r="O340" i="5" s="1"/>
  <c r="E340" i="5"/>
  <c r="F340" i="5" s="1"/>
  <c r="C340" i="5"/>
  <c r="U339" i="5"/>
  <c r="O339" i="5" s="1"/>
  <c r="E339" i="5"/>
  <c r="F339" i="5" s="1"/>
  <c r="G339" i="5" s="1"/>
  <c r="C339" i="5"/>
  <c r="U338" i="5"/>
  <c r="O338" i="5" s="1"/>
  <c r="E338" i="5"/>
  <c r="F338" i="5" s="1"/>
  <c r="C338" i="5"/>
  <c r="U337" i="5"/>
  <c r="O337" i="5" s="1"/>
  <c r="E337" i="5"/>
  <c r="F337" i="5" s="1"/>
  <c r="G337" i="5" s="1"/>
  <c r="C337" i="5"/>
  <c r="U336" i="5"/>
  <c r="O336" i="5" s="1"/>
  <c r="E336" i="5"/>
  <c r="F336" i="5" s="1"/>
  <c r="C336" i="5"/>
  <c r="U335" i="5"/>
  <c r="O335" i="5" s="1"/>
  <c r="E335" i="5"/>
  <c r="F335" i="5" s="1"/>
  <c r="G335" i="5" s="1"/>
  <c r="C335" i="5"/>
  <c r="U334" i="5"/>
  <c r="O334" i="5" s="1"/>
  <c r="E334" i="5"/>
  <c r="F334" i="5" s="1"/>
  <c r="C334" i="5"/>
  <c r="U333" i="5"/>
  <c r="O333" i="5" s="1"/>
  <c r="E333" i="5"/>
  <c r="F333" i="5" s="1"/>
  <c r="G333" i="5" s="1"/>
  <c r="C333" i="5"/>
  <c r="U332" i="5"/>
  <c r="O332" i="5" s="1"/>
  <c r="E332" i="5"/>
  <c r="F332" i="5" s="1"/>
  <c r="C332" i="5"/>
  <c r="U331" i="5"/>
  <c r="O331" i="5" s="1"/>
  <c r="E331" i="5"/>
  <c r="F331" i="5" s="1"/>
  <c r="G331" i="5" s="1"/>
  <c r="C331" i="5"/>
  <c r="U330" i="5"/>
  <c r="O330" i="5" s="1"/>
  <c r="E330" i="5"/>
  <c r="F330" i="5" s="1"/>
  <c r="G330" i="5" s="1"/>
  <c r="C330" i="5"/>
  <c r="U329" i="5"/>
  <c r="O329" i="5" s="1"/>
  <c r="E329" i="5"/>
  <c r="F329" i="5" s="1"/>
  <c r="C329" i="5"/>
  <c r="U328" i="5"/>
  <c r="O328" i="5" s="1"/>
  <c r="E328" i="5"/>
  <c r="F328" i="5" s="1"/>
  <c r="C328" i="5"/>
  <c r="U327" i="5"/>
  <c r="O327" i="5" s="1"/>
  <c r="E327" i="5"/>
  <c r="F327" i="5" s="1"/>
  <c r="G327" i="5" s="1"/>
  <c r="C327" i="5"/>
  <c r="U326" i="5"/>
  <c r="O326" i="5" s="1"/>
  <c r="E326" i="5"/>
  <c r="F326" i="5" s="1"/>
  <c r="C326" i="5"/>
  <c r="U325" i="5"/>
  <c r="O325" i="5" s="1"/>
  <c r="E325" i="5"/>
  <c r="F325" i="5" s="1"/>
  <c r="G325" i="5" s="1"/>
  <c r="C325" i="5"/>
  <c r="U324" i="5"/>
  <c r="O324" i="5" s="1"/>
  <c r="E324" i="5"/>
  <c r="F324" i="5" s="1"/>
  <c r="C324" i="5"/>
  <c r="U323" i="5"/>
  <c r="O323" i="5" s="1"/>
  <c r="E323" i="5"/>
  <c r="F323" i="5" s="1"/>
  <c r="G323" i="5" s="1"/>
  <c r="C323" i="5"/>
  <c r="U322" i="5"/>
  <c r="O322" i="5" s="1"/>
  <c r="E322" i="5"/>
  <c r="F322" i="5" s="1"/>
  <c r="C322" i="5"/>
  <c r="U321" i="5"/>
  <c r="O321" i="5" s="1"/>
  <c r="E321" i="5"/>
  <c r="F321" i="5" s="1"/>
  <c r="G321" i="5" s="1"/>
  <c r="C321" i="5"/>
  <c r="U320" i="5"/>
  <c r="O320" i="5" s="1"/>
  <c r="E320" i="5"/>
  <c r="F320" i="5" s="1"/>
  <c r="C320" i="5"/>
  <c r="U319" i="5"/>
  <c r="O319" i="5" s="1"/>
  <c r="E319" i="5"/>
  <c r="F319" i="5" s="1"/>
  <c r="G319" i="5" s="1"/>
  <c r="C319" i="5"/>
  <c r="U318" i="5"/>
  <c r="O318" i="5" s="1"/>
  <c r="E318" i="5"/>
  <c r="F318" i="5" s="1"/>
  <c r="C318" i="5"/>
  <c r="U311" i="5"/>
  <c r="O311" i="5" s="1"/>
  <c r="E311" i="5"/>
  <c r="F311" i="5" s="1"/>
  <c r="G311" i="5" s="1"/>
  <c r="C311" i="5"/>
  <c r="U310" i="5"/>
  <c r="O310" i="5" s="1"/>
  <c r="E310" i="5"/>
  <c r="F310" i="5" s="1"/>
  <c r="C310" i="5"/>
  <c r="U309" i="5"/>
  <c r="O309" i="5" s="1"/>
  <c r="E309" i="5"/>
  <c r="F309" i="5" s="1"/>
  <c r="G309" i="5" s="1"/>
  <c r="C309" i="5"/>
  <c r="U308" i="5"/>
  <c r="O308" i="5" s="1"/>
  <c r="E308" i="5"/>
  <c r="F308" i="5" s="1"/>
  <c r="G308" i="5" s="1"/>
  <c r="C308" i="5"/>
  <c r="U307" i="5"/>
  <c r="O307" i="5" s="1"/>
  <c r="E307" i="5"/>
  <c r="F307" i="5" s="1"/>
  <c r="C307" i="5"/>
  <c r="U306" i="5"/>
  <c r="O306" i="5" s="1"/>
  <c r="E306" i="5"/>
  <c r="F306" i="5" s="1"/>
  <c r="C306" i="5"/>
  <c r="U305" i="5"/>
  <c r="O305" i="5" s="1"/>
  <c r="E305" i="5"/>
  <c r="F305" i="5" s="1"/>
  <c r="G305" i="5" s="1"/>
  <c r="C305" i="5"/>
  <c r="U304" i="5"/>
  <c r="O304" i="5" s="1"/>
  <c r="E304" i="5"/>
  <c r="F304" i="5" s="1"/>
  <c r="C304" i="5"/>
  <c r="U303" i="5"/>
  <c r="O303" i="5" s="1"/>
  <c r="E303" i="5"/>
  <c r="F303" i="5" s="1"/>
  <c r="G303" i="5" s="1"/>
  <c r="C303" i="5"/>
  <c r="U302" i="5"/>
  <c r="O302" i="5" s="1"/>
  <c r="E302" i="5"/>
  <c r="F302" i="5" s="1"/>
  <c r="C302" i="5"/>
  <c r="U301" i="5"/>
  <c r="O301" i="5" s="1"/>
  <c r="E301" i="5"/>
  <c r="F301" i="5" s="1"/>
  <c r="G301" i="5" s="1"/>
  <c r="C301" i="5"/>
  <c r="U300" i="5"/>
  <c r="O300" i="5" s="1"/>
  <c r="E300" i="5"/>
  <c r="F300" i="5" s="1"/>
  <c r="C300" i="5"/>
  <c r="U299" i="5"/>
  <c r="O299" i="5" s="1"/>
  <c r="E299" i="5"/>
  <c r="F299" i="5" s="1"/>
  <c r="G299" i="5" s="1"/>
  <c r="C299" i="5"/>
  <c r="U298" i="5"/>
  <c r="O298" i="5" s="1"/>
  <c r="E298" i="5"/>
  <c r="F298" i="5" s="1"/>
  <c r="C298" i="5"/>
  <c r="U297" i="5"/>
  <c r="O297" i="5" s="1"/>
  <c r="E297" i="5"/>
  <c r="F297" i="5" s="1"/>
  <c r="G297" i="5" s="1"/>
  <c r="C297" i="5"/>
  <c r="U296" i="5"/>
  <c r="O296" i="5" s="1"/>
  <c r="E296" i="5"/>
  <c r="F296" i="5" s="1"/>
  <c r="C296" i="5"/>
  <c r="U295" i="5"/>
  <c r="O295" i="5" s="1"/>
  <c r="E295" i="5"/>
  <c r="F295" i="5" s="1"/>
  <c r="G295" i="5" s="1"/>
  <c r="C295" i="5"/>
  <c r="U294" i="5"/>
  <c r="O294" i="5" s="1"/>
  <c r="E294" i="5"/>
  <c r="F294" i="5" s="1"/>
  <c r="C294" i="5"/>
  <c r="U293" i="5"/>
  <c r="O293" i="5" s="1"/>
  <c r="E293" i="5"/>
  <c r="F293" i="5" s="1"/>
  <c r="G293" i="5" s="1"/>
  <c r="C293" i="5"/>
  <c r="U292" i="5"/>
  <c r="O292" i="5" s="1"/>
  <c r="E292" i="5"/>
  <c r="F292" i="5" s="1"/>
  <c r="G292" i="5" s="1"/>
  <c r="C292" i="5"/>
  <c r="U291" i="5"/>
  <c r="O291" i="5" s="1"/>
  <c r="E291" i="5"/>
  <c r="F291" i="5" s="1"/>
  <c r="G291" i="5" s="1"/>
  <c r="C291" i="5"/>
  <c r="U290" i="5"/>
  <c r="O290" i="5" s="1"/>
  <c r="E290" i="5"/>
  <c r="F290" i="5" s="1"/>
  <c r="C290" i="5"/>
  <c r="U289" i="5"/>
  <c r="O289" i="5" s="1"/>
  <c r="E289" i="5"/>
  <c r="F289" i="5" s="1"/>
  <c r="G289" i="5" s="1"/>
  <c r="C289" i="5"/>
  <c r="U288" i="5"/>
  <c r="O288" i="5" s="1"/>
  <c r="E288" i="5"/>
  <c r="F288" i="5" s="1"/>
  <c r="C288" i="5"/>
  <c r="U287" i="5"/>
  <c r="O287" i="5" s="1"/>
  <c r="E287" i="5"/>
  <c r="F287" i="5" s="1"/>
  <c r="G287" i="5" s="1"/>
  <c r="C287" i="5"/>
  <c r="U286" i="5"/>
  <c r="O286" i="5" s="1"/>
  <c r="E286" i="5"/>
  <c r="F286" i="5" s="1"/>
  <c r="C286" i="5"/>
  <c r="G200" i="5"/>
  <c r="G199" i="5"/>
  <c r="G198" i="5"/>
  <c r="J177" i="5"/>
  <c r="J195" i="5" s="1"/>
  <c r="G195" i="5" s="1"/>
  <c r="G176" i="5"/>
  <c r="G170" i="5"/>
  <c r="G169" i="5"/>
  <c r="G168" i="5"/>
  <c r="G167" i="5"/>
  <c r="J146" i="5"/>
  <c r="J166" i="5" s="1"/>
  <c r="G166" i="5" s="1"/>
  <c r="G145" i="5"/>
  <c r="G135" i="5"/>
  <c r="G134" i="5"/>
  <c r="G133" i="5"/>
  <c r="G132" i="5"/>
  <c r="J131" i="5"/>
  <c r="G131" i="5" s="1"/>
  <c r="J130" i="5"/>
  <c r="G130" i="5" s="1"/>
  <c r="J129" i="5"/>
  <c r="G129" i="5" s="1"/>
  <c r="J128" i="5"/>
  <c r="G128" i="5" s="1"/>
  <c r="J127" i="5"/>
  <c r="G127" i="5" s="1"/>
  <c r="J126" i="5"/>
  <c r="G126" i="5" s="1"/>
  <c r="J125" i="5"/>
  <c r="G125" i="5" s="1"/>
  <c r="J124" i="5"/>
  <c r="G124" i="5" s="1"/>
  <c r="J123" i="5"/>
  <c r="G123" i="5" s="1"/>
  <c r="J122" i="5"/>
  <c r="G122" i="5" s="1"/>
  <c r="J121" i="5"/>
  <c r="G121" i="5" s="1"/>
  <c r="J120" i="5"/>
  <c r="G120" i="5" s="1"/>
  <c r="J119" i="5"/>
  <c r="G119" i="5" s="1"/>
  <c r="J118" i="5"/>
  <c r="G118" i="5" s="1"/>
  <c r="J117" i="5"/>
  <c r="G117" i="5" s="1"/>
  <c r="J116" i="5"/>
  <c r="G116" i="5" s="1"/>
  <c r="J115" i="5"/>
  <c r="G115" i="5" s="1"/>
  <c r="J114" i="5"/>
  <c r="G114" i="5" s="1"/>
  <c r="J113" i="5"/>
  <c r="G113" i="5" s="1"/>
  <c r="J112" i="5"/>
  <c r="G112" i="5" s="1"/>
  <c r="G111" i="5"/>
  <c r="G110" i="5"/>
  <c r="B85" i="5"/>
  <c r="B86" i="5" s="1"/>
  <c r="F76" i="5"/>
  <c r="B67" i="5"/>
  <c r="A67" i="5"/>
  <c r="B66" i="5"/>
  <c r="A66" i="5"/>
  <c r="B65" i="5"/>
  <c r="A64" i="5"/>
  <c r="B63" i="5"/>
  <c r="A63" i="5"/>
  <c r="B62" i="5"/>
  <c r="E61" i="5"/>
  <c r="E60" i="5"/>
  <c r="C57" i="5"/>
  <c r="E57" i="5" s="1"/>
  <c r="C56" i="5"/>
  <c r="E56" i="5" s="1"/>
  <c r="C54" i="5"/>
  <c r="E54" i="5" s="1"/>
  <c r="B53" i="5"/>
  <c r="A53" i="5"/>
  <c r="B50" i="5"/>
  <c r="A49" i="5"/>
  <c r="C55" i="5"/>
  <c r="E55" i="5" s="1"/>
  <c r="C15" i="5"/>
  <c r="A50" i="6" l="1"/>
  <c r="A46" i="6"/>
  <c r="A49" i="6"/>
  <c r="A32" i="6"/>
  <c r="A47" i="6"/>
  <c r="C64" i="6"/>
  <c r="D81" i="5"/>
  <c r="E81" i="5" s="1"/>
  <c r="C81" i="1"/>
  <c r="C65" i="6"/>
  <c r="D82" i="5"/>
  <c r="E82" i="5" s="1"/>
  <c r="C82" i="1"/>
  <c r="C44" i="6"/>
  <c r="C43" i="6"/>
  <c r="C40" i="6"/>
  <c r="C39" i="6"/>
  <c r="C38" i="6"/>
  <c r="F57" i="5"/>
  <c r="C37" i="6"/>
  <c r="J294" i="5"/>
  <c r="C17" i="5"/>
  <c r="J296" i="5"/>
  <c r="J300" i="5"/>
  <c r="J298" i="5"/>
  <c r="J310" i="5"/>
  <c r="J320" i="5"/>
  <c r="J332" i="5"/>
  <c r="J334" i="5"/>
  <c r="J336" i="5"/>
  <c r="J338" i="5"/>
  <c r="C50" i="5"/>
  <c r="J318" i="5"/>
  <c r="J322" i="5"/>
  <c r="J351" i="5"/>
  <c r="J353" i="5"/>
  <c r="J355" i="5"/>
  <c r="J357" i="5"/>
  <c r="J367" i="5"/>
  <c r="J369" i="5"/>
  <c r="J178" i="5"/>
  <c r="G178" i="5" s="1"/>
  <c r="J188" i="5"/>
  <c r="G188" i="5" s="1"/>
  <c r="G329" i="5"/>
  <c r="J329" i="5"/>
  <c r="G348" i="5"/>
  <c r="J348" i="5"/>
  <c r="G364" i="5"/>
  <c r="J364" i="5"/>
  <c r="G307" i="5"/>
  <c r="J307" i="5"/>
  <c r="J288" i="5"/>
  <c r="J299" i="5"/>
  <c r="G300" i="5"/>
  <c r="J302" i="5"/>
  <c r="J304" i="5"/>
  <c r="J306" i="5"/>
  <c r="J321" i="5"/>
  <c r="G322" i="5"/>
  <c r="J324" i="5"/>
  <c r="J326" i="5"/>
  <c r="J328" i="5"/>
  <c r="J337" i="5"/>
  <c r="G338" i="5"/>
  <c r="J340" i="5"/>
  <c r="J342" i="5"/>
  <c r="J347" i="5"/>
  <c r="J356" i="5"/>
  <c r="G357" i="5"/>
  <c r="J359" i="5"/>
  <c r="J361" i="5"/>
  <c r="J363" i="5"/>
  <c r="G288" i="5"/>
  <c r="J292" i="5"/>
  <c r="J308" i="5"/>
  <c r="J330" i="5"/>
  <c r="J349" i="5"/>
  <c r="J365" i="5"/>
  <c r="J291" i="5"/>
  <c r="J287" i="5"/>
  <c r="J151" i="5"/>
  <c r="G151" i="5" s="1"/>
  <c r="J165" i="5"/>
  <c r="G165" i="5" s="1"/>
  <c r="J180" i="5"/>
  <c r="G180" i="5" s="1"/>
  <c r="J149" i="5"/>
  <c r="G149" i="5" s="1"/>
  <c r="J193" i="5"/>
  <c r="G193" i="5" s="1"/>
  <c r="G146" i="5"/>
  <c r="J157" i="5"/>
  <c r="G157" i="5" s="1"/>
  <c r="G177" i="5"/>
  <c r="J185" i="5"/>
  <c r="G185" i="5" s="1"/>
  <c r="J194" i="5"/>
  <c r="G194" i="5" s="1"/>
  <c r="J159" i="5"/>
  <c r="G159" i="5" s="1"/>
  <c r="J186" i="5"/>
  <c r="G186" i="5" s="1"/>
  <c r="J196" i="5"/>
  <c r="G196" i="5" s="1"/>
  <c r="J153" i="5"/>
  <c r="G153" i="5" s="1"/>
  <c r="J161" i="5"/>
  <c r="G161" i="5" s="1"/>
  <c r="J147" i="5"/>
  <c r="G147" i="5" s="1"/>
  <c r="J155" i="5"/>
  <c r="G155" i="5" s="1"/>
  <c r="J163" i="5"/>
  <c r="G163" i="5" s="1"/>
  <c r="J183" i="5"/>
  <c r="G183" i="5" s="1"/>
  <c r="J191" i="5"/>
  <c r="G191" i="5" s="1"/>
  <c r="J286" i="5"/>
  <c r="G286" i="5"/>
  <c r="J290" i="5"/>
  <c r="G290" i="5"/>
  <c r="C16" i="5"/>
  <c r="J295" i="5"/>
  <c r="G296" i="5"/>
  <c r="J303" i="5"/>
  <c r="G304" i="5"/>
  <c r="J311" i="5"/>
  <c r="G318" i="5"/>
  <c r="J325" i="5"/>
  <c r="G326" i="5"/>
  <c r="J333" i="5"/>
  <c r="G334" i="5"/>
  <c r="J341" i="5"/>
  <c r="G342" i="5"/>
  <c r="J352" i="5"/>
  <c r="G353" i="5"/>
  <c r="J360" i="5"/>
  <c r="G361" i="5"/>
  <c r="J368" i="5"/>
  <c r="G369" i="5"/>
  <c r="J289" i="5"/>
  <c r="G136" i="5"/>
  <c r="J148" i="5"/>
  <c r="G148" i="5" s="1"/>
  <c r="J152" i="5"/>
  <c r="G152" i="5" s="1"/>
  <c r="J156" i="5"/>
  <c r="G156" i="5" s="1"/>
  <c r="J160" i="5"/>
  <c r="G160" i="5" s="1"/>
  <c r="J179" i="5"/>
  <c r="G179" i="5" s="1"/>
  <c r="J181" i="5"/>
  <c r="G181" i="5" s="1"/>
  <c r="J184" i="5"/>
  <c r="G184" i="5" s="1"/>
  <c r="J189" i="5"/>
  <c r="G189" i="5" s="1"/>
  <c r="J192" i="5"/>
  <c r="G192" i="5" s="1"/>
  <c r="J197" i="5"/>
  <c r="G197" i="5" s="1"/>
  <c r="J371" i="5"/>
  <c r="G371" i="5"/>
  <c r="J150" i="5"/>
  <c r="G150" i="5" s="1"/>
  <c r="J154" i="5"/>
  <c r="G154" i="5" s="1"/>
  <c r="J158" i="5"/>
  <c r="G158" i="5" s="1"/>
  <c r="J162" i="5"/>
  <c r="G162" i="5" s="1"/>
  <c r="J164" i="5"/>
  <c r="G164" i="5" s="1"/>
  <c r="J182" i="5"/>
  <c r="G182" i="5" s="1"/>
  <c r="J187" i="5"/>
  <c r="G187" i="5" s="1"/>
  <c r="J190" i="5"/>
  <c r="G190" i="5" s="1"/>
  <c r="J293" i="5"/>
  <c r="G294" i="5"/>
  <c r="J297" i="5"/>
  <c r="G298" i="5"/>
  <c r="J301" i="5"/>
  <c r="G302" i="5"/>
  <c r="J305" i="5"/>
  <c r="G306" i="5"/>
  <c r="J309" i="5"/>
  <c r="G310" i="5"/>
  <c r="J319" i="5"/>
  <c r="G320" i="5"/>
  <c r="J323" i="5"/>
  <c r="G324" i="5"/>
  <c r="J327" i="5"/>
  <c r="G328" i="5"/>
  <c r="J331" i="5"/>
  <c r="G332" i="5"/>
  <c r="J335" i="5"/>
  <c r="G336" i="5"/>
  <c r="J339" i="5"/>
  <c r="G340" i="5"/>
  <c r="J346" i="5"/>
  <c r="G347" i="5"/>
  <c r="J350" i="5"/>
  <c r="G351" i="5"/>
  <c r="J354" i="5"/>
  <c r="G355" i="5"/>
  <c r="J358" i="5"/>
  <c r="G359" i="5"/>
  <c r="J362" i="5"/>
  <c r="G363" i="5"/>
  <c r="J366" i="5"/>
  <c r="G367" i="5"/>
  <c r="J370" i="5"/>
  <c r="H171" i="1"/>
  <c r="H140" i="1"/>
  <c r="E84" i="5" l="1"/>
  <c r="E82" i="1"/>
  <c r="D82" i="1"/>
  <c r="D65" i="6"/>
  <c r="E65" i="6" s="1"/>
  <c r="D81" i="1"/>
  <c r="E81" i="1"/>
  <c r="D64" i="6"/>
  <c r="E64" i="6" s="1"/>
  <c r="G171" i="5"/>
  <c r="G201" i="5"/>
  <c r="E67" i="6" l="1"/>
  <c r="E68" i="6"/>
  <c r="E85" i="5"/>
  <c r="H173" i="1"/>
  <c r="E69" i="6" l="1"/>
  <c r="H64" i="5"/>
  <c r="K64" i="5" s="1"/>
  <c r="H65" i="5"/>
  <c r="K65" i="5" s="1"/>
  <c r="F84" i="5"/>
  <c r="E86" i="5"/>
  <c r="F16" i="1"/>
  <c r="E66" i="5" l="1"/>
  <c r="E65" i="5"/>
  <c r="K67" i="5"/>
  <c r="E63" i="5" s="1"/>
  <c r="E63" i="1" s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2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C46" i="6" l="1"/>
  <c r="C48" i="6"/>
  <c r="C49" i="6"/>
  <c r="E76" i="1"/>
  <c r="E341" i="1"/>
  <c r="F341" i="1" s="1"/>
  <c r="E342" i="1"/>
  <c r="F342" i="1" s="1"/>
  <c r="E343" i="1"/>
  <c r="F343" i="1" s="1"/>
  <c r="E344" i="1"/>
  <c r="F344" i="1" s="1"/>
  <c r="E345" i="1"/>
  <c r="F345" i="1" s="1"/>
  <c r="E346" i="1"/>
  <c r="F346" i="1" s="1"/>
  <c r="E347" i="1"/>
  <c r="F347" i="1" s="1"/>
  <c r="E348" i="1"/>
  <c r="F348" i="1" s="1"/>
  <c r="E349" i="1"/>
  <c r="F349" i="1" s="1"/>
  <c r="E350" i="1"/>
  <c r="F350" i="1" s="1"/>
  <c r="E351" i="1"/>
  <c r="F351" i="1" s="1"/>
  <c r="E352" i="1"/>
  <c r="F352" i="1" s="1"/>
  <c r="E353" i="1"/>
  <c r="F353" i="1" s="1"/>
  <c r="E354" i="1"/>
  <c r="F354" i="1" s="1"/>
  <c r="E355" i="1"/>
  <c r="F355" i="1" s="1"/>
  <c r="E356" i="1"/>
  <c r="F356" i="1" s="1"/>
  <c r="E357" i="1"/>
  <c r="F357" i="1" s="1"/>
  <c r="E358" i="1"/>
  <c r="F358" i="1" s="1"/>
  <c r="E359" i="1"/>
  <c r="F359" i="1" s="1"/>
  <c r="E360" i="1"/>
  <c r="F360" i="1" s="1"/>
  <c r="E361" i="1"/>
  <c r="F361" i="1" s="1"/>
  <c r="E362" i="1"/>
  <c r="F362" i="1" s="1"/>
  <c r="E363" i="1"/>
  <c r="F363" i="1" s="1"/>
  <c r="E364" i="1"/>
  <c r="F364" i="1" s="1"/>
  <c r="E365" i="1"/>
  <c r="F365" i="1" s="1"/>
  <c r="E340" i="1"/>
  <c r="F340" i="1" s="1"/>
  <c r="E313" i="1"/>
  <c r="F313" i="1" s="1"/>
  <c r="E314" i="1"/>
  <c r="F314" i="1" s="1"/>
  <c r="G314" i="1" s="1"/>
  <c r="E315" i="1"/>
  <c r="F315" i="1" s="1"/>
  <c r="E316" i="1"/>
  <c r="F316" i="1" s="1"/>
  <c r="E317" i="1"/>
  <c r="F317" i="1" s="1"/>
  <c r="E318" i="1"/>
  <c r="F318" i="1" s="1"/>
  <c r="G318" i="1" s="1"/>
  <c r="E319" i="1"/>
  <c r="F319" i="1" s="1"/>
  <c r="E320" i="1"/>
  <c r="F320" i="1" s="1"/>
  <c r="E321" i="1"/>
  <c r="F321" i="1" s="1"/>
  <c r="E322" i="1"/>
  <c r="F322" i="1" s="1"/>
  <c r="G322" i="1" s="1"/>
  <c r="E323" i="1"/>
  <c r="F323" i="1" s="1"/>
  <c r="E324" i="1"/>
  <c r="F324" i="1" s="1"/>
  <c r="E325" i="1"/>
  <c r="F325" i="1" s="1"/>
  <c r="E326" i="1"/>
  <c r="F326" i="1" s="1"/>
  <c r="E327" i="1"/>
  <c r="F327" i="1" s="1"/>
  <c r="E328" i="1"/>
  <c r="F328" i="1" s="1"/>
  <c r="E329" i="1"/>
  <c r="F329" i="1" s="1"/>
  <c r="E330" i="1"/>
  <c r="F330" i="1" s="1"/>
  <c r="E331" i="1"/>
  <c r="F331" i="1" s="1"/>
  <c r="E332" i="1"/>
  <c r="F332" i="1" s="1"/>
  <c r="E333" i="1"/>
  <c r="F333" i="1" s="1"/>
  <c r="E334" i="1"/>
  <c r="F334" i="1" s="1"/>
  <c r="G334" i="1" s="1"/>
  <c r="E335" i="1"/>
  <c r="F335" i="1" s="1"/>
  <c r="E336" i="1"/>
  <c r="F336" i="1" s="1"/>
  <c r="E312" i="1"/>
  <c r="F312" i="1" s="1"/>
  <c r="E281" i="1"/>
  <c r="F281" i="1" s="1"/>
  <c r="G281" i="1" s="1"/>
  <c r="E282" i="1"/>
  <c r="F282" i="1" s="1"/>
  <c r="E283" i="1"/>
  <c r="F283" i="1" s="1"/>
  <c r="G283" i="1" s="1"/>
  <c r="E284" i="1"/>
  <c r="F284" i="1" s="1"/>
  <c r="E285" i="1"/>
  <c r="F285" i="1" s="1"/>
  <c r="E286" i="1"/>
  <c r="F286" i="1" s="1"/>
  <c r="E287" i="1"/>
  <c r="F287" i="1" s="1"/>
  <c r="G287" i="1" s="1"/>
  <c r="E288" i="1"/>
  <c r="F288" i="1" s="1"/>
  <c r="E289" i="1"/>
  <c r="F289" i="1" s="1"/>
  <c r="E290" i="1"/>
  <c r="F290" i="1" s="1"/>
  <c r="E291" i="1"/>
  <c r="F291" i="1" s="1"/>
  <c r="G291" i="1" s="1"/>
  <c r="E292" i="1"/>
  <c r="F292" i="1" s="1"/>
  <c r="E293" i="1"/>
  <c r="F293" i="1" s="1"/>
  <c r="E294" i="1"/>
  <c r="F294" i="1" s="1"/>
  <c r="E295" i="1"/>
  <c r="F295" i="1" s="1"/>
  <c r="E296" i="1"/>
  <c r="F296" i="1" s="1"/>
  <c r="E297" i="1"/>
  <c r="F297" i="1" s="1"/>
  <c r="E298" i="1"/>
  <c r="F298" i="1" s="1"/>
  <c r="E299" i="1"/>
  <c r="F299" i="1" s="1"/>
  <c r="G299" i="1" s="1"/>
  <c r="E300" i="1"/>
  <c r="F300" i="1" s="1"/>
  <c r="E301" i="1"/>
  <c r="F301" i="1" s="1"/>
  <c r="E302" i="1"/>
  <c r="F302" i="1" s="1"/>
  <c r="E303" i="1"/>
  <c r="F303" i="1" s="1"/>
  <c r="E304" i="1"/>
  <c r="F304" i="1" s="1"/>
  <c r="E305" i="1"/>
  <c r="F305" i="1" s="1"/>
  <c r="E280" i="1"/>
  <c r="F280" i="1" s="1"/>
  <c r="Q365" i="1"/>
  <c r="L365" i="1" s="1"/>
  <c r="C365" i="1"/>
  <c r="Q364" i="1"/>
  <c r="L364" i="1" s="1"/>
  <c r="C364" i="1"/>
  <c r="Q363" i="1"/>
  <c r="L363" i="1" s="1"/>
  <c r="C363" i="1"/>
  <c r="Q362" i="1"/>
  <c r="L362" i="1" s="1"/>
  <c r="C362" i="1"/>
  <c r="Q361" i="1"/>
  <c r="L361" i="1" s="1"/>
  <c r="C361" i="1"/>
  <c r="Q360" i="1"/>
  <c r="L360" i="1" s="1"/>
  <c r="C360" i="1"/>
  <c r="Q359" i="1"/>
  <c r="L359" i="1" s="1"/>
  <c r="C359" i="1"/>
  <c r="Q358" i="1"/>
  <c r="L358" i="1" s="1"/>
  <c r="C358" i="1"/>
  <c r="Q357" i="1"/>
  <c r="L357" i="1" s="1"/>
  <c r="C357" i="1"/>
  <c r="Q356" i="1"/>
  <c r="L356" i="1" s="1"/>
  <c r="C356" i="1"/>
  <c r="Q355" i="1"/>
  <c r="L355" i="1" s="1"/>
  <c r="C355" i="1"/>
  <c r="Q354" i="1"/>
  <c r="L354" i="1" s="1"/>
  <c r="C354" i="1"/>
  <c r="Q353" i="1"/>
  <c r="L353" i="1" s="1"/>
  <c r="C353" i="1"/>
  <c r="Q352" i="1"/>
  <c r="L352" i="1" s="1"/>
  <c r="C352" i="1"/>
  <c r="Q351" i="1"/>
  <c r="L351" i="1" s="1"/>
  <c r="C351" i="1"/>
  <c r="Q350" i="1"/>
  <c r="L350" i="1" s="1"/>
  <c r="C350" i="1"/>
  <c r="Q349" i="1"/>
  <c r="L349" i="1" s="1"/>
  <c r="C349" i="1"/>
  <c r="Q348" i="1"/>
  <c r="L348" i="1" s="1"/>
  <c r="C348" i="1"/>
  <c r="Q347" i="1"/>
  <c r="L347" i="1" s="1"/>
  <c r="C347" i="1"/>
  <c r="Q346" i="1"/>
  <c r="L346" i="1" s="1"/>
  <c r="C346" i="1"/>
  <c r="Q345" i="1"/>
  <c r="L345" i="1" s="1"/>
  <c r="C345" i="1"/>
  <c r="Q344" i="1"/>
  <c r="L344" i="1" s="1"/>
  <c r="C344" i="1"/>
  <c r="Q343" i="1"/>
  <c r="L343" i="1" s="1"/>
  <c r="C343" i="1"/>
  <c r="Q342" i="1"/>
  <c r="L342" i="1" s="1"/>
  <c r="C342" i="1"/>
  <c r="Q341" i="1"/>
  <c r="L341" i="1" s="1"/>
  <c r="C341" i="1"/>
  <c r="Q340" i="1"/>
  <c r="L340" i="1" s="1"/>
  <c r="C340" i="1"/>
  <c r="Q336" i="1"/>
  <c r="L336" i="1" s="1"/>
  <c r="C336" i="1"/>
  <c r="Q335" i="1"/>
  <c r="L335" i="1" s="1"/>
  <c r="C335" i="1"/>
  <c r="Q334" i="1"/>
  <c r="L334" i="1" s="1"/>
  <c r="C334" i="1"/>
  <c r="Q333" i="1"/>
  <c r="L333" i="1" s="1"/>
  <c r="C333" i="1"/>
  <c r="Q332" i="1"/>
  <c r="L332" i="1" s="1"/>
  <c r="C332" i="1"/>
  <c r="Q331" i="1"/>
  <c r="L331" i="1" s="1"/>
  <c r="C331" i="1"/>
  <c r="Q330" i="1"/>
  <c r="L330" i="1" s="1"/>
  <c r="C330" i="1"/>
  <c r="Q329" i="1"/>
  <c r="L329" i="1" s="1"/>
  <c r="C329" i="1"/>
  <c r="Q328" i="1"/>
  <c r="L328" i="1" s="1"/>
  <c r="C328" i="1"/>
  <c r="Q327" i="1"/>
  <c r="L327" i="1" s="1"/>
  <c r="C327" i="1"/>
  <c r="Q326" i="1"/>
  <c r="L326" i="1" s="1"/>
  <c r="C326" i="1"/>
  <c r="Q325" i="1"/>
  <c r="L325" i="1" s="1"/>
  <c r="C325" i="1"/>
  <c r="Q324" i="1"/>
  <c r="L324" i="1" s="1"/>
  <c r="C324" i="1"/>
  <c r="Q323" i="1"/>
  <c r="L323" i="1" s="1"/>
  <c r="C323" i="1"/>
  <c r="Q322" i="1"/>
  <c r="L322" i="1" s="1"/>
  <c r="C322" i="1"/>
  <c r="Q321" i="1"/>
  <c r="L321" i="1" s="1"/>
  <c r="C321" i="1"/>
  <c r="Q320" i="1"/>
  <c r="L320" i="1" s="1"/>
  <c r="C320" i="1"/>
  <c r="Q319" i="1"/>
  <c r="L319" i="1" s="1"/>
  <c r="C319" i="1"/>
  <c r="Q318" i="1"/>
  <c r="L318" i="1" s="1"/>
  <c r="C318" i="1"/>
  <c r="Q317" i="1"/>
  <c r="L317" i="1" s="1"/>
  <c r="C317" i="1"/>
  <c r="Q316" i="1"/>
  <c r="L316" i="1" s="1"/>
  <c r="C316" i="1"/>
  <c r="Q315" i="1"/>
  <c r="L315" i="1" s="1"/>
  <c r="C315" i="1"/>
  <c r="Q314" i="1"/>
  <c r="L314" i="1" s="1"/>
  <c r="C314" i="1"/>
  <c r="Q313" i="1"/>
  <c r="L313" i="1" s="1"/>
  <c r="C313" i="1"/>
  <c r="Q312" i="1"/>
  <c r="L312" i="1" s="1"/>
  <c r="C312" i="1"/>
  <c r="Q282" i="1"/>
  <c r="L282" i="1" s="1"/>
  <c r="Q283" i="1"/>
  <c r="L283" i="1" s="1"/>
  <c r="Q284" i="1"/>
  <c r="L284" i="1" s="1"/>
  <c r="Q285" i="1"/>
  <c r="L285" i="1" s="1"/>
  <c r="Q286" i="1"/>
  <c r="L286" i="1" s="1"/>
  <c r="Q287" i="1"/>
  <c r="L287" i="1" s="1"/>
  <c r="Q288" i="1"/>
  <c r="L288" i="1" s="1"/>
  <c r="Q289" i="1"/>
  <c r="L289" i="1" s="1"/>
  <c r="Q290" i="1"/>
  <c r="L290" i="1" s="1"/>
  <c r="Q291" i="1"/>
  <c r="L291" i="1" s="1"/>
  <c r="Q292" i="1"/>
  <c r="L292" i="1" s="1"/>
  <c r="Q293" i="1"/>
  <c r="L293" i="1" s="1"/>
  <c r="Q294" i="1"/>
  <c r="L294" i="1" s="1"/>
  <c r="Q295" i="1"/>
  <c r="L295" i="1" s="1"/>
  <c r="Q296" i="1"/>
  <c r="L296" i="1" s="1"/>
  <c r="Q297" i="1"/>
  <c r="L297" i="1" s="1"/>
  <c r="Q298" i="1"/>
  <c r="L298" i="1" s="1"/>
  <c r="Q299" i="1"/>
  <c r="L299" i="1" s="1"/>
  <c r="Q300" i="1"/>
  <c r="L300" i="1" s="1"/>
  <c r="Q301" i="1"/>
  <c r="L301" i="1" s="1"/>
  <c r="Q302" i="1"/>
  <c r="L302" i="1" s="1"/>
  <c r="Q303" i="1"/>
  <c r="L303" i="1" s="1"/>
  <c r="Q304" i="1"/>
  <c r="L304" i="1" s="1"/>
  <c r="Q305" i="1"/>
  <c r="L305" i="1" s="1"/>
  <c r="Q281" i="1"/>
  <c r="L281" i="1" s="1"/>
  <c r="Q280" i="1"/>
  <c r="L280" i="1" s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280" i="1"/>
  <c r="C57" i="1"/>
  <c r="E57" i="1" s="1"/>
  <c r="C56" i="1"/>
  <c r="B67" i="1"/>
  <c r="B65" i="1"/>
  <c r="B84" i="1"/>
  <c r="F76" i="1"/>
  <c r="A67" i="1"/>
  <c r="B66" i="1"/>
  <c r="A66" i="1"/>
  <c r="A64" i="1"/>
  <c r="B63" i="1"/>
  <c r="A63" i="1"/>
  <c r="B62" i="1"/>
  <c r="C55" i="1"/>
  <c r="E55" i="1" s="1"/>
  <c r="B53" i="1"/>
  <c r="A53" i="1"/>
  <c r="C51" i="1"/>
  <c r="B51" i="1"/>
  <c r="E50" i="1"/>
  <c r="B50" i="1"/>
  <c r="B49" i="1"/>
  <c r="A49" i="1"/>
  <c r="C15" i="1"/>
  <c r="C54" i="1"/>
  <c r="E54" i="1" s="1"/>
  <c r="B34" i="6" l="1"/>
  <c r="D34" i="6" s="1"/>
  <c r="B40" i="6"/>
  <c r="D40" i="6" s="1"/>
  <c r="B33" i="6"/>
  <c r="D33" i="6" s="1"/>
  <c r="B37" i="6"/>
  <c r="D37" i="6" s="1"/>
  <c r="B38" i="6"/>
  <c r="D38" i="6" s="1"/>
  <c r="H312" i="1"/>
  <c r="H363" i="1"/>
  <c r="H355" i="1"/>
  <c r="H347" i="1"/>
  <c r="H359" i="1"/>
  <c r="H351" i="1"/>
  <c r="H343" i="1"/>
  <c r="G298" i="1"/>
  <c r="G294" i="1"/>
  <c r="G290" i="1"/>
  <c r="G286" i="1"/>
  <c r="G305" i="1"/>
  <c r="G301" i="1"/>
  <c r="G297" i="1"/>
  <c r="G293" i="1"/>
  <c r="G289" i="1"/>
  <c r="G285" i="1"/>
  <c r="G302" i="1"/>
  <c r="G295" i="1"/>
  <c r="G345" i="1"/>
  <c r="H345" i="1"/>
  <c r="H348" i="1"/>
  <c r="G348" i="1"/>
  <c r="G350" i="1"/>
  <c r="H350" i="1"/>
  <c r="G354" i="1"/>
  <c r="H354" i="1"/>
  <c r="H356" i="1"/>
  <c r="G356" i="1"/>
  <c r="G358" i="1"/>
  <c r="H358" i="1"/>
  <c r="G361" i="1"/>
  <c r="H361" i="1"/>
  <c r="H364" i="1"/>
  <c r="G364" i="1"/>
  <c r="H341" i="1"/>
  <c r="G341" i="1"/>
  <c r="H344" i="1"/>
  <c r="G344" i="1"/>
  <c r="H340" i="1"/>
  <c r="G340" i="1"/>
  <c r="G346" i="1"/>
  <c r="H346" i="1"/>
  <c r="H349" i="1"/>
  <c r="G349" i="1"/>
  <c r="G352" i="1"/>
  <c r="H352" i="1"/>
  <c r="G353" i="1"/>
  <c r="H353" i="1"/>
  <c r="H357" i="1"/>
  <c r="G357" i="1"/>
  <c r="H360" i="1"/>
  <c r="G360" i="1"/>
  <c r="G362" i="1"/>
  <c r="H362" i="1"/>
  <c r="G365" i="1"/>
  <c r="H365" i="1"/>
  <c r="G342" i="1"/>
  <c r="H342" i="1"/>
  <c r="G363" i="1"/>
  <c r="G343" i="1"/>
  <c r="G347" i="1"/>
  <c r="G351" i="1"/>
  <c r="G355" i="1"/>
  <c r="G359" i="1"/>
  <c r="H336" i="1"/>
  <c r="H313" i="1"/>
  <c r="H320" i="1"/>
  <c r="H321" i="1"/>
  <c r="H316" i="1"/>
  <c r="H317" i="1"/>
  <c r="H324" i="1"/>
  <c r="H325" i="1"/>
  <c r="H328" i="1"/>
  <c r="H329" i="1"/>
  <c r="H332" i="1"/>
  <c r="H333" i="1"/>
  <c r="H314" i="1"/>
  <c r="G317" i="1"/>
  <c r="H322" i="1"/>
  <c r="G325" i="1"/>
  <c r="G329" i="1"/>
  <c r="G333" i="1"/>
  <c r="G313" i="1"/>
  <c r="H318" i="1"/>
  <c r="G321" i="1"/>
  <c r="H334" i="1"/>
  <c r="H319" i="1"/>
  <c r="G319" i="1"/>
  <c r="H335" i="1"/>
  <c r="G335" i="1"/>
  <c r="H315" i="1"/>
  <c r="G315" i="1"/>
  <c r="H323" i="1"/>
  <c r="G323" i="1"/>
  <c r="H327" i="1"/>
  <c r="G327" i="1"/>
  <c r="H331" i="1"/>
  <c r="G331" i="1"/>
  <c r="G326" i="1"/>
  <c r="H326" i="1"/>
  <c r="G330" i="1"/>
  <c r="H330" i="1"/>
  <c r="G312" i="1"/>
  <c r="G316" i="1"/>
  <c r="G320" i="1"/>
  <c r="G324" i="1"/>
  <c r="G328" i="1"/>
  <c r="G332" i="1"/>
  <c r="G336" i="1"/>
  <c r="H280" i="1"/>
  <c r="G282" i="1"/>
  <c r="H282" i="1"/>
  <c r="H300" i="1"/>
  <c r="G300" i="1"/>
  <c r="H292" i="1"/>
  <c r="G292" i="1"/>
  <c r="H284" i="1"/>
  <c r="G284" i="1"/>
  <c r="H304" i="1"/>
  <c r="G304" i="1"/>
  <c r="H296" i="1"/>
  <c r="G296" i="1"/>
  <c r="H288" i="1"/>
  <c r="G288" i="1"/>
  <c r="H303" i="1"/>
  <c r="H283" i="1"/>
  <c r="H302" i="1"/>
  <c r="H298" i="1"/>
  <c r="H294" i="1"/>
  <c r="H290" i="1"/>
  <c r="H286" i="1"/>
  <c r="H281" i="1"/>
  <c r="G280" i="1"/>
  <c r="H299" i="1"/>
  <c r="H295" i="1"/>
  <c r="H291" i="1"/>
  <c r="H287" i="1"/>
  <c r="G303" i="1"/>
  <c r="H305" i="1"/>
  <c r="H301" i="1"/>
  <c r="H297" i="1"/>
  <c r="H293" i="1"/>
  <c r="H289" i="1"/>
  <c r="H285" i="1"/>
  <c r="E84" i="1"/>
  <c r="H94" i="1" s="1"/>
  <c r="H95" i="1" s="1"/>
  <c r="C50" i="1"/>
  <c r="E60" i="1"/>
  <c r="B85" i="1"/>
  <c r="C16" i="1"/>
  <c r="E61" i="1"/>
  <c r="B43" i="6" l="1"/>
  <c r="D43" i="6" s="1"/>
  <c r="B44" i="6"/>
  <c r="D44" i="6" s="1"/>
  <c r="F84" i="1"/>
  <c r="E56" i="1"/>
  <c r="C17" i="1"/>
  <c r="B86" i="1"/>
  <c r="E85" i="1"/>
  <c r="F55" i="1" l="1"/>
  <c r="B46" i="6"/>
  <c r="D46" i="6" s="1"/>
  <c r="F57" i="1"/>
  <c r="B39" i="6"/>
  <c r="D39" i="6" s="1"/>
  <c r="E86" i="1"/>
  <c r="E65" i="1" s="1"/>
  <c r="B48" i="6" l="1"/>
  <c r="D48" i="6" s="1"/>
  <c r="E62" i="1"/>
  <c r="E67" i="1"/>
  <c r="E66" i="1"/>
  <c r="G88" i="1"/>
  <c r="G89" i="1" s="1"/>
  <c r="E90" i="1" s="1"/>
  <c r="E74" i="6" l="1"/>
  <c r="B49" i="6"/>
  <c r="D49" i="6" s="1"/>
  <c r="B50" i="6"/>
  <c r="B45" i="6"/>
  <c r="E68" i="1"/>
  <c r="E89" i="1" s="1"/>
  <c r="C98" i="1" s="1"/>
  <c r="E88" i="1" l="1"/>
  <c r="E92" i="1" l="1"/>
  <c r="C96" i="1" l="1"/>
  <c r="B96" i="1" s="1"/>
  <c r="C100" i="1"/>
  <c r="A96" i="1" l="1"/>
  <c r="F58" i="5"/>
  <c r="E67" i="5"/>
  <c r="E62" i="5"/>
  <c r="C50" i="6" l="1"/>
  <c r="D50" i="6" s="1"/>
  <c r="E68" i="5"/>
  <c r="E91" i="5" s="1"/>
  <c r="B91" i="5" s="1"/>
  <c r="C45" i="6"/>
  <c r="D45" i="6" s="1"/>
  <c r="E40" i="6" l="1"/>
  <c r="E41" i="6" s="1"/>
  <c r="D51" i="6"/>
  <c r="A91" i="5"/>
  <c r="E72" i="6" l="1"/>
  <c r="E76" i="6" s="1"/>
  <c r="A346" i="6" l="1"/>
  <c r="B346" i="6"/>
</calcChain>
</file>

<file path=xl/sharedStrings.xml><?xml version="1.0" encoding="utf-8"?>
<sst xmlns="http://schemas.openxmlformats.org/spreadsheetml/2006/main" count="903" uniqueCount="227">
  <si>
    <t>סוג דירה</t>
  </si>
  <si>
    <t>סה"כ דירות בפרויקט</t>
  </si>
  <si>
    <t>סה"כ בעלי הקרקע</t>
  </si>
  <si>
    <t>סה"כ חלק היזם</t>
  </si>
  <si>
    <t>רש/1/819</t>
  </si>
  <si>
    <t>400, 401, 399, 365-386</t>
  </si>
  <si>
    <t>שטח דירה</t>
  </si>
  <si>
    <t>מרפסת</t>
  </si>
  <si>
    <t>₪ 30,615 ₪ 3,980,000 ₪ 1 דירת גן 5 חדרים קרקע 3,401,709 100 130</t>
  </si>
  <si>
    <t>₪ 25,034 ₪ 3,660,000 ₪ 2 דירת 5 חדרים 3,128,205 27 133</t>
  </si>
  <si>
    <t>₪ 25,017 ₪ 3,590,000 ₪ 3 דירת 5 חדרים 3,068,376 27 130</t>
  </si>
  <si>
    <t>₪ 25,027 ₪ 2,340,000 ₪ 4 דירת 3 חדרים 2,000,000 27 80</t>
  </si>
  <si>
    <t>₪ 25,171 ₪ 3,680,000 ₪ 5 דירת 5 חדרים 3,145,299 27 133</t>
  </si>
  <si>
    <t>₪ 25,157 ₪ 3,610,000 ₪ 6 דירת 5 חדרים 3,085,470 27 130</t>
  </si>
  <si>
    <t>₪ 25,241 ₪ 2,360,000 ₪ 7 דירת 3 חדרים 2,017,094 27 80</t>
  </si>
  <si>
    <t>₪ 25,308 ₪ 3,700,000 ₪ 8 דירת 5 חדרים 3,162,393 27 133</t>
  </si>
  <si>
    <t>₪ 25,296 ₪ 3,630,000 ₪ 9 דירת 5 חדרים 3,102,564 27 130</t>
  </si>
  <si>
    <t>₪ 25,455 ₪ 2,380,000 ₪ 10 דירת 3 חדרים 2,034,188 27 80</t>
  </si>
  <si>
    <t>₪ 25,445 ₪ 3,720,000 ₪ 11 דירת 5 חדרים 3,179,487 27 133</t>
  </si>
  <si>
    <t>₪ 25,436 ₪ 3,650,000 ₪ 12 דירת 5 חדרים 3,119,658 27 130</t>
  </si>
  <si>
    <t>₪ 25,668 ₪ 2,400,000 ₪ 13 דירת 3 חדרים 2,051,282 27 80</t>
  </si>
  <si>
    <t>₪ 25,581 ₪ 3,740,000 ₪ 14 דירת 5 חדרים 3,196,581 27 133</t>
  </si>
  <si>
    <t>₪ 25,575 ₪ 3,670,000 ₪ 15 דירת 5 חדרים 3,136,752 27 130</t>
  </si>
  <si>
    <t>₪ 25,882 ₪ 2,420,000 ₪ 16 דירת 3 חדרים 2,068,376 27 80</t>
  </si>
  <si>
    <t>₪ 25,718 ₪ 3,760,000 ₪ 17 דירת 5 חדרים 3,213,675 27 133</t>
  </si>
  <si>
    <t>₪ 25,714 ₪ 3,690,000 ₪ 18 דירת 5 חדרים 3,153,846 27 130</t>
  </si>
  <si>
    <t>₪ 25,796 ₪ 3,160,000 ₪ 19 דירת 5 חדרים 2,700,855 27 109</t>
  </si>
  <si>
    <t>₪ 25,855 ₪ 3,780,000 ₪ 20 דירת 5 חדרים 3,230,769 27 133</t>
  </si>
  <si>
    <t>₪ 25,854 ₪ 3,710,000 ₪ 21 דירת 5 חדרים 3,170,940 27 130</t>
  </si>
  <si>
    <t>₪ 25,959 ₪ 3,180,000 ₪ 22 דירת 5 חדרים 2,717,949 27 109</t>
  </si>
  <si>
    <t>₪ 27,895 ₪ 4,240,000 ₪ 23 פנטהאוז 6 חדרים 3,623,932 40 152</t>
  </si>
  <si>
    <t>₪ 27,895 ₪ 4,240,000 ₪ 24 פנטהאוז 6 חדרים 3,623,932 40 152</t>
  </si>
  <si>
    <t>₪ 27,861 ₪ 5,210,000 ₪ 25 דופלקס 5 חדרים 4,452,991 70 187</t>
  </si>
  <si>
    <t>₪ 27,861 ₪ 5,210,000 ₪ 26 דופלקס 5 חדרים 4,452,991 70 187</t>
  </si>
  <si>
    <t>מחיר למ"ר</t>
  </si>
  <si>
    <t>מחיר דירה כולל מע"מ</t>
  </si>
  <si>
    <t>מחיר דירה ללא מע"מ</t>
  </si>
  <si>
    <t>גינה/גג</t>
  </si>
  <si>
    <t>₪ 30,721 ₪ 3,920,000 ₪ 1 דירת גן 5 חדרים קרקע 3,350,427 100 128</t>
  </si>
  <si>
    <t>₪ 25,018 ₪ 3,530,000 ₪ 2 דירת 5 חדרים 3,017,094 27 128</t>
  </si>
  <si>
    <t>₪ 25,018 ₪ 3,530,000 ₪ 3 דירת 5 חדרים 3,017,094 27 128</t>
  </si>
  <si>
    <t>₪ 25,159 ₪ 3,550,000 ₪ 5 דירת 5 חדרים 3,034,188 27 128</t>
  </si>
  <si>
    <t>₪ 25,159 ₪ 3,550,000 ₪ 6 דירת 5 חדרים 3,034,188 27 128</t>
  </si>
  <si>
    <t>₪ 25,301 ₪ 3,570,000 ₪ 8 דירת 5 חדרים 3,051,282 27 128</t>
  </si>
  <si>
    <t>₪ 25,301 ₪ 3,570,000 ₪ 9 דירת 5 חדרים 3,051,282 27 128</t>
  </si>
  <si>
    <t>₪ 25,443 ₪ 3,590,000 ₪ 11 דירת 5 חדרים 3,068,376 27 128</t>
  </si>
  <si>
    <t>₪ 25,443 ₪ 3,590,000 ₪ 12 דירת 5 חדרים 3,068,376 27 128</t>
  </si>
  <si>
    <t>₪ 25,585 ₪ 3,610,000 ₪ 14 דירת 5 חדרים 3,085,470 27 128</t>
  </si>
  <si>
    <t>₪ 25,585 ₪ 3,610,000 ₪ 15 דירת 5 חדרים 3,085,470 27 128</t>
  </si>
  <si>
    <t>₪ 25,726 ₪ 3,630,000 ₪ 17 דירת 5 חדרים 3,102,564 27 128</t>
  </si>
  <si>
    <t>₪ 25,726 ₪ 3,630,000 ₪ 18 דירת 5 חדרים 3,102,564 27 128</t>
  </si>
  <si>
    <t>₪ 26,096 ₪ 2,440,000 ₪ 19 דירת 3 חדרים 2,085,470 27 80</t>
  </si>
  <si>
    <t>₪ 25,868 ₪ 3,650,000 ₪ 20 דירת 5 חדרים 3,119,658 27 128</t>
  </si>
  <si>
    <t>₪ 25,868 ₪ 3,650,000 ₪ 21 דירת 5 חדרים 3,119,658 27 128</t>
  </si>
  <si>
    <t>₪ 27,895 ₪ 4,240,000 ₪ 22 פנטהאוז 6 חדרים 3,623,932 40 152</t>
  </si>
  <si>
    <t>₪ 27,861 ₪ 5,210,000 ₪ 24 דופלקס 5 חדרים 4,452,991 70 187</t>
  </si>
  <si>
    <t>₪ 30,520 ₪ 4,050,000 ₪ 1 דירת גן 5 חדרים קרקע 3,461,538 100 133</t>
  </si>
  <si>
    <t>₪ 25,633 ₪ 3,140,000 ₪ 16 דירת 5 חדרים 2,683,761 27 109</t>
  </si>
  <si>
    <t>טיפוס B-</t>
  </si>
  <si>
    <t>טיפוס c-</t>
  </si>
  <si>
    <t>טיפוס A-</t>
  </si>
  <si>
    <t>בניין מטיפוס A-</t>
  </si>
  <si>
    <t>דירת גן 5 חדרים קרקע</t>
  </si>
  <si>
    <t xml:space="preserve"> דירת 5 חדרים</t>
  </si>
  <si>
    <t>4 דירת 3 חדרי</t>
  </si>
  <si>
    <t>7 דירת 3 חדרי</t>
  </si>
  <si>
    <t>0 דירת 3 חדרי</t>
  </si>
  <si>
    <t>3 דירת 3 חדרי</t>
  </si>
  <si>
    <t>6 דירת 3 חדרי</t>
  </si>
  <si>
    <t>9 דירת 3 חדרי</t>
  </si>
  <si>
    <t>בניין מטיפוס B-</t>
  </si>
  <si>
    <t>בניין מטיפוס C-</t>
  </si>
  <si>
    <t>מס'</t>
  </si>
  <si>
    <t>A</t>
  </si>
  <si>
    <t>C</t>
  </si>
  <si>
    <t>B</t>
  </si>
  <si>
    <t>שלב א'</t>
  </si>
  <si>
    <t>שלב ב'</t>
  </si>
  <si>
    <t>מחיר למ"ר כולל מע"מ</t>
  </si>
  <si>
    <t>פנט' 6 חדרים</t>
  </si>
  <si>
    <t>דופלקס 5 חדרים</t>
  </si>
  <si>
    <t>אפסייד</t>
  </si>
  <si>
    <t>סה"כ</t>
  </si>
  <si>
    <t>General data</t>
  </si>
  <si>
    <t>Seven buildings</t>
  </si>
  <si>
    <t>Address</t>
  </si>
  <si>
    <t>Taba - city building plan</t>
  </si>
  <si>
    <t>Block</t>
  </si>
  <si>
    <t>Parcel</t>
  </si>
  <si>
    <t>Yavne St. at Geulim St. "Geulim Site", Ramat  Hasharon</t>
  </si>
  <si>
    <t>Total area of lots</t>
  </si>
  <si>
    <t>Gross built-up area</t>
  </si>
  <si>
    <t>Basement Parking area (assessed)</t>
  </si>
  <si>
    <t>Balcony area (assessed)</t>
  </si>
  <si>
    <t>Area of hanging gardens</t>
  </si>
  <si>
    <t>Adjacent development area (assessed)</t>
  </si>
  <si>
    <t>Cost Index (excluding VAT)</t>
  </si>
  <si>
    <t>3 floors</t>
  </si>
  <si>
    <t>Unit</t>
  </si>
  <si>
    <t>Cost (NIS)</t>
  </si>
  <si>
    <t>Residential unit</t>
  </si>
  <si>
    <t>Entire project</t>
  </si>
  <si>
    <t>Percent</t>
  </si>
  <si>
    <t>Square meter</t>
  </si>
  <si>
    <t>Percent of direct construction cost</t>
  </si>
  <si>
    <t>Development levies and building fees</t>
  </si>
  <si>
    <t>Betterment levy</t>
  </si>
  <si>
    <t>Permit fees for ILA</t>
  </si>
  <si>
    <t>Purchase tax 5% of the cost of land</t>
  </si>
  <si>
    <t>Purchase tax 5% of the land cost</t>
  </si>
  <si>
    <t>Entrepreneurship fees / project overhead</t>
  </si>
  <si>
    <t>Construction of balconies</t>
  </si>
  <si>
    <t>Construction of residential areas</t>
  </si>
  <si>
    <t>Construction of basement</t>
  </si>
  <si>
    <t>Area of roof terraces</t>
  </si>
  <si>
    <t>Construction of roof terraces</t>
  </si>
  <si>
    <t>Electricity</t>
  </si>
  <si>
    <t>Planning and shifting</t>
  </si>
  <si>
    <t>Management fees</t>
  </si>
  <si>
    <t>Guarantees for residents and property owners</t>
  </si>
  <si>
    <t>Financing</t>
  </si>
  <si>
    <t>Marketing and advertising</t>
  </si>
  <si>
    <t>Development of adjacent land and open public areas</t>
  </si>
  <si>
    <t>Item</t>
  </si>
  <si>
    <t xml:space="preserve"> unforeseen items</t>
  </si>
  <si>
    <t>Costs (before VAT)</t>
  </si>
  <si>
    <t>Total cost for item</t>
  </si>
  <si>
    <t>No. of units</t>
  </si>
  <si>
    <t>Rate</t>
  </si>
  <si>
    <t>Open public area for development by the entrepreneur</t>
  </si>
  <si>
    <t>Total costs</t>
  </si>
  <si>
    <t>Legal fees</t>
  </si>
  <si>
    <t>Development of open private area</t>
  </si>
  <si>
    <t>Demolition and removal</t>
  </si>
  <si>
    <t>Construction of roof  terraces</t>
  </si>
  <si>
    <t>Rent for residents and transfer fees (24 months)</t>
  </si>
  <si>
    <t>Betterment levy, allowance to move areas from one lot to another</t>
  </si>
  <si>
    <t>Income</t>
  </si>
  <si>
    <t>Type of apartment</t>
  </si>
  <si>
    <t>Garden apartments</t>
  </si>
  <si>
    <t>3 room</t>
  </si>
  <si>
    <t>4 room</t>
  </si>
  <si>
    <t>4.5 room</t>
  </si>
  <si>
    <t>5 room</t>
  </si>
  <si>
    <t>6 room</t>
  </si>
  <si>
    <t>6.5 room</t>
  </si>
  <si>
    <t>Penthouses</t>
  </si>
  <si>
    <t>Total apartments in the project</t>
  </si>
  <si>
    <t>Price including VAT</t>
  </si>
  <si>
    <t>Total including VAT</t>
  </si>
  <si>
    <t>Total income excluding VAT</t>
  </si>
  <si>
    <t>Construction costs</t>
  </si>
  <si>
    <t>Net sq meters (main + security room)</t>
  </si>
  <si>
    <t>Profit in the project before upside</t>
  </si>
  <si>
    <t>Minimum profit for the purposes of upside</t>
  </si>
  <si>
    <t xml:space="preserve">Upside for actual landowners </t>
  </si>
  <si>
    <t>Surplus in the project after upside</t>
  </si>
  <si>
    <t>in % of the income</t>
  </si>
  <si>
    <t>in % of the costs</t>
  </si>
  <si>
    <t>Surplus for residents in Tessa option</t>
  </si>
  <si>
    <t>In combination 2%</t>
  </si>
  <si>
    <t>Entrepreneur basic income</t>
  </si>
  <si>
    <t>Surplus income</t>
  </si>
  <si>
    <t>Maximum upside for landowners</t>
  </si>
  <si>
    <t>Total</t>
  </si>
  <si>
    <t>Ramat Hasharon - 180 residential units</t>
  </si>
  <si>
    <t>Taba  - City building plan</t>
  </si>
  <si>
    <t>Planning:</t>
  </si>
  <si>
    <t>Lot No.</t>
  </si>
  <si>
    <t>Lot area</t>
  </si>
  <si>
    <t>Residential units</t>
  </si>
  <si>
    <t>Main</t>
  </si>
  <si>
    <r>
      <t xml:space="preserve">Service (Joint </t>
    </r>
    <r>
      <rPr>
        <b/>
        <sz val="10"/>
        <color rgb="FFFF0000"/>
        <rFont val="Arial"/>
        <family val="2"/>
      </rPr>
      <t>overhead</t>
    </r>
    <r>
      <rPr>
        <b/>
        <sz val="10"/>
        <color indexed="8"/>
        <rFont val="Arial"/>
        <family val="2"/>
      </rPr>
      <t>)</t>
    </r>
  </si>
  <si>
    <t>Storerooms</t>
  </si>
  <si>
    <t>Security room</t>
  </si>
  <si>
    <t>Service balcony</t>
  </si>
  <si>
    <t>Balconies - main</t>
  </si>
  <si>
    <t>Underground parking lot</t>
  </si>
  <si>
    <r>
      <t xml:space="preserve">Total </t>
    </r>
    <r>
      <rPr>
        <b/>
        <sz val="10"/>
        <color rgb="FFFF0000"/>
        <rFont val="Arial"/>
        <family val="2"/>
      </rPr>
      <t>upper</t>
    </r>
    <r>
      <rPr>
        <b/>
        <sz val="10"/>
        <color indexed="8"/>
        <rFont val="Arial"/>
        <family val="2"/>
      </rPr>
      <t xml:space="preserve"> construction</t>
    </r>
  </si>
  <si>
    <t>Units</t>
  </si>
  <si>
    <t>Total - entrepreneur's part</t>
  </si>
  <si>
    <t>Total - landowners</t>
  </si>
  <si>
    <t>No.  Units/sq. meter</t>
  </si>
  <si>
    <t>No. units/sq. meter</t>
  </si>
  <si>
    <t>Price per unit including VAT</t>
  </si>
  <si>
    <t>Surplus in the project</t>
  </si>
  <si>
    <t>Type</t>
  </si>
  <si>
    <t>Steel door</t>
  </si>
  <si>
    <t>Balconies</t>
  </si>
  <si>
    <t>Storeroom</t>
  </si>
  <si>
    <t>Price per sq meter including VAT</t>
  </si>
  <si>
    <t>Price per unit</t>
  </si>
  <si>
    <t>Total area of apartments for sale</t>
  </si>
  <si>
    <t>Rent for residents and transfer fees (48 months)</t>
  </si>
  <si>
    <t>Cost</t>
  </si>
  <si>
    <t>Calculation of guarantees</t>
  </si>
  <si>
    <t xml:space="preserve">Rental Guarantees </t>
  </si>
  <si>
    <t>Value of landowner's apartments</t>
  </si>
  <si>
    <t>Value of apartments for sale</t>
  </si>
  <si>
    <t>Adv. Tessa - NIS 1.2 million, Israel Tal - NIS 3.5 million, marketing - NIS 1.5 million</t>
  </si>
  <si>
    <t>General information</t>
  </si>
  <si>
    <t>Upside</t>
  </si>
  <si>
    <t>Raskin Group upside</t>
  </si>
  <si>
    <t>Profit Rothstein</t>
  </si>
  <si>
    <t>Tessa</t>
  </si>
  <si>
    <t>Raskin</t>
  </si>
  <si>
    <t>No. of lots</t>
  </si>
  <si>
    <t>Tessa option</t>
  </si>
  <si>
    <t>48%in combination</t>
  </si>
  <si>
    <t xml:space="preserve"> 50%combination without upside</t>
  </si>
  <si>
    <t>Betterment levy on landowners</t>
  </si>
  <si>
    <t>Minimum profit for upside - 15% of costs</t>
  </si>
  <si>
    <t>Betterment levy - up to NIS 10 million / NIS 15 million in accordance with profitability</t>
  </si>
  <si>
    <t>Maximum upside - 33% of surplus income (actual income minus NIS 262 million)</t>
  </si>
  <si>
    <t>Brokerage and signing residents</t>
  </si>
  <si>
    <t>Service balconies</t>
  </si>
  <si>
    <t>Underground parking</t>
  </si>
  <si>
    <r>
      <t xml:space="preserve">Total </t>
    </r>
    <r>
      <rPr>
        <b/>
        <sz val="10"/>
        <color rgb="FFFF0000"/>
        <rFont val="Arial"/>
        <family val="2"/>
      </rPr>
      <t xml:space="preserve">upper </t>
    </r>
    <r>
      <rPr>
        <b/>
        <sz val="10"/>
        <color indexed="8"/>
        <rFont val="Arial"/>
        <family val="2"/>
      </rPr>
      <t>construction</t>
    </r>
  </si>
  <si>
    <t>Raskin option</t>
  </si>
  <si>
    <t>Up to ceiling</t>
  </si>
  <si>
    <t>Hanging gardens area</t>
  </si>
  <si>
    <t>Roof terraces area</t>
  </si>
  <si>
    <t>110sq m average per unit  X  180 units</t>
  </si>
  <si>
    <t>Construction of living areas</t>
  </si>
  <si>
    <t>According to 48 months for 24 residents</t>
  </si>
  <si>
    <t>Cost per unit (with no unforeseen items)</t>
  </si>
  <si>
    <t>Betterment levy  allowance to move areas from one lot to another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</si>
</sst>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6" x14ac:knownFonts="1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charset val="177"/>
      <scheme val="minor"/>
    </font>
    <font>
      <b/>
      <u/>
      <sz val="11"/>
      <color indexed="8"/>
      <name val="Arial"/>
      <family val="2"/>
      <charset val="177"/>
    </font>
    <font>
      <sz val="10"/>
      <color indexed="8"/>
      <name val="Arial"/>
      <family val="2"/>
      <charset val="177"/>
    </font>
    <font>
      <b/>
      <sz val="10"/>
      <color indexed="10"/>
      <name val="Arial"/>
      <family val="2"/>
      <charset val="177"/>
    </font>
    <font>
      <b/>
      <u/>
      <sz val="10"/>
      <color indexed="8"/>
      <name val="Arial"/>
      <family val="2"/>
      <charset val="177"/>
    </font>
    <font>
      <b/>
      <u/>
      <sz val="10"/>
      <color indexed="8"/>
      <name val="Arial"/>
      <family val="2"/>
    </font>
    <font>
      <u/>
      <sz val="10"/>
      <color indexed="8"/>
      <name val="Arial"/>
      <family val="2"/>
      <charset val="177"/>
    </font>
    <font>
      <sz val="8"/>
      <color indexed="8"/>
      <name val="Arial"/>
      <family val="2"/>
      <charset val="177"/>
    </font>
    <font>
      <b/>
      <sz val="10"/>
      <color indexed="8"/>
      <name val="Arial"/>
      <family val="2"/>
      <charset val="177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i/>
      <sz val="10"/>
      <color indexed="10"/>
      <name val="Arial"/>
      <family val="2"/>
      <charset val="177"/>
    </font>
    <font>
      <b/>
      <u/>
      <sz val="8"/>
      <color indexed="8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5">
    <xf numFmtId="0" fontId="0" fillId="0" borderId="0" xfId="0"/>
    <xf numFmtId="3" fontId="3" fillId="0" borderId="0" xfId="0" applyNumberFormat="1" applyFont="1"/>
    <xf numFmtId="3" fontId="4" fillId="0" borderId="0" xfId="0" applyNumberFormat="1" applyFont="1"/>
    <xf numFmtId="3" fontId="5" fillId="0" borderId="0" xfId="0" applyNumberFormat="1" applyFont="1" applyAlignment="1">
      <alignment horizontal="center"/>
    </xf>
    <xf numFmtId="3" fontId="3" fillId="0" borderId="0" xfId="0" applyNumberFormat="1" applyFont="1" applyFill="1"/>
    <xf numFmtId="3" fontId="3" fillId="0" borderId="1" xfId="0" applyNumberFormat="1" applyFont="1" applyFill="1" applyBorder="1" applyAlignment="1">
      <alignment horizontal="center"/>
    </xf>
    <xf numFmtId="3" fontId="3" fillId="0" borderId="2" xfId="0" applyNumberFormat="1" applyFont="1" applyFill="1" applyBorder="1" applyAlignment="1">
      <alignment horizontal="center"/>
    </xf>
    <xf numFmtId="3" fontId="3" fillId="0" borderId="0" xfId="0" applyNumberFormat="1" applyFont="1" applyFill="1" applyAlignment="1">
      <alignment horizontal="center"/>
    </xf>
    <xf numFmtId="3" fontId="3" fillId="0" borderId="3" xfId="0" applyNumberFormat="1" applyFont="1" applyFill="1" applyBorder="1" applyAlignment="1">
      <alignment horizontal="center"/>
    </xf>
    <xf numFmtId="3" fontId="3" fillId="0" borderId="0" xfId="0" applyNumberFormat="1" applyFont="1" applyFill="1" applyAlignment="1">
      <alignment horizontal="right"/>
    </xf>
    <xf numFmtId="3" fontId="6" fillId="0" borderId="0" xfId="0" applyNumberFormat="1" applyFont="1" applyFill="1" applyAlignment="1">
      <alignment horizontal="center"/>
    </xf>
    <xf numFmtId="3" fontId="7" fillId="0" borderId="0" xfId="0" applyNumberFormat="1" applyFont="1" applyFill="1" applyAlignment="1">
      <alignment horizontal="center"/>
    </xf>
    <xf numFmtId="3" fontId="8" fillId="0" borderId="0" xfId="0" applyNumberFormat="1" applyFont="1" applyFill="1" applyAlignment="1">
      <alignment horizontal="right" readingOrder="2"/>
    </xf>
    <xf numFmtId="3" fontId="3" fillId="0" borderId="4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9" fillId="0" borderId="1" xfId="0" applyNumberFormat="1" applyFont="1" applyBorder="1" applyAlignment="1">
      <alignment horizontal="center"/>
    </xf>
    <xf numFmtId="3" fontId="9" fillId="0" borderId="5" xfId="0" applyNumberFormat="1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3" fontId="9" fillId="0" borderId="0" xfId="0" applyNumberFormat="1" applyFont="1" applyAlignment="1">
      <alignment horizontal="center"/>
    </xf>
    <xf numFmtId="3" fontId="3" fillId="0" borderId="3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3" fontId="8" fillId="0" borderId="0" xfId="0" applyNumberFormat="1" applyFont="1" applyAlignment="1">
      <alignment horizontal="right"/>
    </xf>
    <xf numFmtId="3" fontId="3" fillId="0" borderId="7" xfId="0" applyNumberFormat="1" applyFont="1" applyFill="1" applyBorder="1" applyAlignment="1">
      <alignment horizontal="center"/>
    </xf>
    <xf numFmtId="9" fontId="3" fillId="0" borderId="4" xfId="1" applyFont="1" applyFill="1" applyBorder="1" applyAlignment="1">
      <alignment horizontal="center"/>
    </xf>
    <xf numFmtId="9" fontId="3" fillId="0" borderId="7" xfId="1" applyFont="1" applyFill="1" applyBorder="1" applyAlignment="1">
      <alignment horizontal="center"/>
    </xf>
    <xf numFmtId="3" fontId="8" fillId="0" borderId="0" xfId="0" applyNumberFormat="1" applyFont="1" applyFill="1" applyAlignment="1">
      <alignment horizontal="center"/>
    </xf>
    <xf numFmtId="3" fontId="7" fillId="0" borderId="0" xfId="0" applyNumberFormat="1" applyFont="1" applyAlignment="1">
      <alignment horizontal="center"/>
    </xf>
    <xf numFmtId="164" fontId="3" fillId="0" borderId="4" xfId="1" applyNumberFormat="1" applyFont="1" applyFill="1" applyBorder="1" applyAlignment="1">
      <alignment horizontal="center"/>
    </xf>
    <xf numFmtId="164" fontId="3" fillId="0" borderId="7" xfId="1" applyNumberFormat="1" applyFont="1" applyFill="1" applyBorder="1" applyAlignment="1">
      <alignment horizontal="center"/>
    </xf>
    <xf numFmtId="3" fontId="3" fillId="0" borderId="8" xfId="0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3" fontId="3" fillId="0" borderId="10" xfId="0" applyNumberFormat="1" applyFon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10" fillId="0" borderId="0" xfId="0" applyNumberFormat="1" applyFont="1" applyAlignment="1">
      <alignment horizontal="center"/>
    </xf>
    <xf numFmtId="3" fontId="3" fillId="0" borderId="0" xfId="0" applyNumberFormat="1" applyFont="1" applyBorder="1" applyAlignment="1">
      <alignment horizontal="center"/>
    </xf>
    <xf numFmtId="3" fontId="9" fillId="0" borderId="10" xfId="0" applyNumberFormat="1" applyFont="1" applyBorder="1" applyAlignment="1">
      <alignment horizontal="center"/>
    </xf>
    <xf numFmtId="3" fontId="9" fillId="0" borderId="12" xfId="0" applyNumberFormat="1" applyFont="1" applyBorder="1" applyAlignment="1">
      <alignment horizontal="center"/>
    </xf>
    <xf numFmtId="3" fontId="11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center"/>
    </xf>
    <xf numFmtId="9" fontId="3" fillId="0" borderId="0" xfId="1" applyFont="1" applyAlignment="1">
      <alignment horizontal="right"/>
    </xf>
    <xf numFmtId="3" fontId="9" fillId="0" borderId="5" xfId="0" applyNumberFormat="1" applyFont="1" applyBorder="1" applyAlignment="1">
      <alignment horizontal="center" wrapText="1"/>
    </xf>
    <xf numFmtId="3" fontId="9" fillId="0" borderId="2" xfId="0" applyNumberFormat="1" applyFont="1" applyBorder="1" applyAlignment="1">
      <alignment horizontal="center" wrapText="1"/>
    </xf>
    <xf numFmtId="164" fontId="3" fillId="0" borderId="0" xfId="0" applyNumberFormat="1" applyFont="1" applyAlignment="1">
      <alignment horizontal="center"/>
    </xf>
    <xf numFmtId="3" fontId="12" fillId="0" borderId="3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/>
    </xf>
    <xf numFmtId="3" fontId="8" fillId="0" borderId="0" xfId="0" applyNumberFormat="1" applyFont="1" applyAlignment="1">
      <alignment horizontal="center"/>
    </xf>
    <xf numFmtId="3" fontId="11" fillId="0" borderId="0" xfId="0" applyNumberFormat="1" applyFont="1" applyAlignment="1">
      <alignment horizontal="right"/>
    </xf>
    <xf numFmtId="3" fontId="9" fillId="0" borderId="10" xfId="0" applyNumberFormat="1" applyFont="1" applyFill="1" applyBorder="1" applyAlignment="1">
      <alignment horizontal="center"/>
    </xf>
    <xf numFmtId="4" fontId="9" fillId="0" borderId="11" xfId="0" applyNumberFormat="1" applyFont="1" applyFill="1" applyBorder="1" applyAlignment="1">
      <alignment horizontal="center"/>
    </xf>
    <xf numFmtId="3" fontId="9" fillId="0" borderId="11" xfId="0" applyNumberFormat="1" applyFont="1" applyFill="1" applyBorder="1" applyAlignment="1">
      <alignment horizontal="center"/>
    </xf>
    <xf numFmtId="3" fontId="9" fillId="0" borderId="12" xfId="0" applyNumberFormat="1" applyFont="1" applyFill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3" fontId="4" fillId="0" borderId="14" xfId="0" applyNumberFormat="1" applyFont="1" applyBorder="1" applyAlignment="1">
      <alignment horizontal="center"/>
    </xf>
    <xf numFmtId="9" fontId="10" fillId="0" borderId="0" xfId="1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2" fillId="0" borderId="0" xfId="0" applyNumberFormat="1" applyFont="1" applyAlignment="1">
      <alignment wrapText="1"/>
    </xf>
    <xf numFmtId="3" fontId="3" fillId="0" borderId="0" xfId="0" applyNumberFormat="1" applyFont="1" applyAlignment="1">
      <alignment horizontal="right" readingOrder="2"/>
    </xf>
    <xf numFmtId="9" fontId="3" fillId="0" borderId="12" xfId="1" applyFont="1" applyFill="1" applyBorder="1" applyAlignment="1">
      <alignment horizontal="center"/>
    </xf>
    <xf numFmtId="3" fontId="6" fillId="0" borderId="0" xfId="0" applyNumberFormat="1" applyFont="1"/>
    <xf numFmtId="3" fontId="11" fillId="0" borderId="15" xfId="0" applyNumberFormat="1" applyFont="1" applyBorder="1" applyAlignment="1">
      <alignment horizontal="center"/>
    </xf>
    <xf numFmtId="3" fontId="10" fillId="0" borderId="7" xfId="0" applyNumberFormat="1" applyFont="1" applyFill="1" applyBorder="1" applyAlignment="1">
      <alignment horizontal="center"/>
    </xf>
    <xf numFmtId="3" fontId="10" fillId="0" borderId="7" xfId="0" applyNumberFormat="1" applyFont="1" applyFill="1" applyBorder="1" applyAlignment="1">
      <alignment horizontal="center" wrapText="1"/>
    </xf>
    <xf numFmtId="3" fontId="10" fillId="0" borderId="4" xfId="0" applyNumberFormat="1" applyFont="1" applyFill="1" applyBorder="1" applyAlignment="1">
      <alignment horizontal="center" wrapText="1"/>
    </xf>
    <xf numFmtId="3" fontId="9" fillId="0" borderId="7" xfId="0" applyNumberFormat="1" applyFont="1" applyFill="1" applyBorder="1" applyAlignment="1">
      <alignment horizontal="center"/>
    </xf>
    <xf numFmtId="3" fontId="9" fillId="0" borderId="4" xfId="0" applyNumberFormat="1" applyFont="1" applyFill="1" applyBorder="1" applyAlignment="1">
      <alignment horizontal="center"/>
    </xf>
    <xf numFmtId="4" fontId="3" fillId="0" borderId="7" xfId="0" applyNumberFormat="1" applyFont="1" applyFill="1" applyBorder="1" applyAlignment="1">
      <alignment horizontal="center"/>
    </xf>
    <xf numFmtId="3" fontId="4" fillId="0" borderId="0" xfId="0" applyNumberFormat="1" applyFont="1" applyAlignment="1">
      <alignment horizontal="center"/>
    </xf>
    <xf numFmtId="3" fontId="3" fillId="2" borderId="0" xfId="0" applyNumberFormat="1" applyFont="1" applyFill="1" applyAlignment="1">
      <alignment horizontal="center"/>
    </xf>
    <xf numFmtId="10" fontId="11" fillId="2" borderId="7" xfId="1" applyNumberFormat="1" applyFont="1" applyFill="1" applyBorder="1" applyAlignment="1">
      <alignment horizontal="center"/>
    </xf>
    <xf numFmtId="3" fontId="8" fillId="0" borderId="0" xfId="0" applyNumberFormat="1" applyFont="1" applyFill="1" applyAlignment="1">
      <alignment horizontal="right"/>
    </xf>
    <xf numFmtId="3" fontId="13" fillId="0" borderId="0" xfId="0" applyNumberFormat="1" applyFont="1" applyFill="1" applyAlignment="1">
      <alignment horizontal="center"/>
    </xf>
    <xf numFmtId="3" fontId="9" fillId="0" borderId="0" xfId="0" applyNumberFormat="1" applyFont="1" applyAlignment="1"/>
    <xf numFmtId="3" fontId="11" fillId="0" borderId="0" xfId="0" applyNumberFormat="1" applyFont="1"/>
    <xf numFmtId="3" fontId="3" fillId="0" borderId="16" xfId="0" applyNumberFormat="1" applyFont="1" applyBorder="1"/>
    <xf numFmtId="3" fontId="11" fillId="0" borderId="16" xfId="0" applyNumberFormat="1" applyFont="1" applyBorder="1" applyAlignment="1">
      <alignment horizontal="center" wrapText="1"/>
    </xf>
    <xf numFmtId="3" fontId="11" fillId="0" borderId="16" xfId="0" applyNumberFormat="1" applyFont="1" applyBorder="1" applyAlignment="1">
      <alignment horizontal="center"/>
    </xf>
    <xf numFmtId="10" fontId="3" fillId="0" borderId="0" xfId="1" applyNumberFormat="1" applyFont="1" applyAlignment="1">
      <alignment horizontal="right"/>
    </xf>
    <xf numFmtId="3" fontId="3" fillId="0" borderId="16" xfId="0" applyNumberFormat="1" applyFont="1" applyBorder="1" applyAlignment="1">
      <alignment horizontal="center"/>
    </xf>
    <xf numFmtId="3" fontId="3" fillId="0" borderId="16" xfId="0" applyNumberFormat="1" applyFont="1" applyBorder="1" applyAlignment="1">
      <alignment horizontal="right"/>
    </xf>
    <xf numFmtId="10" fontId="3" fillId="0" borderId="16" xfId="1" applyNumberFormat="1" applyFont="1" applyBorder="1" applyAlignment="1">
      <alignment horizontal="right"/>
    </xf>
    <xf numFmtId="3" fontId="11" fillId="0" borderId="0" xfId="0" applyNumberFormat="1" applyFont="1" applyBorder="1" applyAlignment="1">
      <alignment horizontal="center"/>
    </xf>
    <xf numFmtId="3" fontId="11" fillId="0" borderId="16" xfId="0" applyNumberFormat="1" applyFont="1" applyBorder="1" applyAlignment="1">
      <alignment horizontal="right"/>
    </xf>
    <xf numFmtId="3" fontId="9" fillId="0" borderId="0" xfId="0" applyNumberFormat="1" applyFont="1" applyBorder="1" applyAlignment="1">
      <alignment horizontal="center"/>
    </xf>
    <xf numFmtId="9" fontId="3" fillId="0" borderId="0" xfId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3" fontId="9" fillId="0" borderId="17" xfId="0" applyNumberFormat="1" applyFont="1" applyBorder="1" applyAlignment="1">
      <alignment horizontal="center"/>
    </xf>
    <xf numFmtId="3" fontId="3" fillId="0" borderId="18" xfId="0" applyNumberFormat="1" applyFont="1" applyBorder="1" applyAlignment="1">
      <alignment horizontal="center"/>
    </xf>
    <xf numFmtId="9" fontId="3" fillId="0" borderId="18" xfId="1" applyFont="1" applyFill="1" applyBorder="1" applyAlignment="1">
      <alignment horizontal="center"/>
    </xf>
    <xf numFmtId="164" fontId="3" fillId="0" borderId="18" xfId="1" applyNumberFormat="1" applyFont="1" applyFill="1" applyBorder="1" applyAlignment="1">
      <alignment horizontal="center"/>
    </xf>
    <xf numFmtId="3" fontId="3" fillId="0" borderId="19" xfId="0" applyNumberFormat="1" applyFont="1" applyBorder="1" applyAlignment="1">
      <alignment horizontal="center"/>
    </xf>
    <xf numFmtId="3" fontId="9" fillId="0" borderId="18" xfId="0" applyNumberFormat="1" applyFont="1" applyFill="1" applyBorder="1" applyAlignment="1">
      <alignment horizontal="center"/>
    </xf>
    <xf numFmtId="3" fontId="9" fillId="0" borderId="19" xfId="0" applyNumberFormat="1" applyFont="1" applyFill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 readingOrder="2"/>
    </xf>
    <xf numFmtId="3" fontId="9" fillId="0" borderId="0" xfId="0" applyNumberFormat="1" applyFont="1" applyAlignment="1">
      <alignment horizontal="center" readingOrder="2"/>
    </xf>
    <xf numFmtId="3" fontId="3" fillId="0" borderId="0" xfId="0" applyNumberFormat="1" applyFont="1" applyFill="1" applyAlignment="1">
      <alignment horizontal="center" readingOrder="2"/>
    </xf>
    <xf numFmtId="3" fontId="2" fillId="0" borderId="0" xfId="0" applyNumberFormat="1" applyFont="1" applyAlignment="1"/>
    <xf numFmtId="9" fontId="3" fillId="0" borderId="0" xfId="1" applyFont="1" applyAlignment="1">
      <alignment horizontal="center"/>
    </xf>
    <xf numFmtId="10" fontId="11" fillId="0" borderId="7" xfId="1" applyNumberFormat="1" applyFont="1" applyFill="1" applyBorder="1" applyAlignment="1">
      <alignment horizontal="center"/>
    </xf>
    <xf numFmtId="164" fontId="11" fillId="0" borderId="7" xfId="1" applyNumberFormat="1" applyFont="1" applyFill="1" applyBorder="1" applyAlignment="1">
      <alignment horizontal="center"/>
    </xf>
    <xf numFmtId="164" fontId="11" fillId="0" borderId="18" xfId="1" applyNumberFormat="1" applyFont="1" applyFill="1" applyBorder="1" applyAlignment="1">
      <alignment horizontal="center"/>
    </xf>
    <xf numFmtId="9" fontId="10" fillId="0" borderId="0" xfId="1" applyFont="1" applyFill="1" applyAlignment="1"/>
    <xf numFmtId="3" fontId="3" fillId="0" borderId="0" xfId="0" applyNumberFormat="1" applyFont="1" applyFill="1" applyAlignment="1"/>
    <xf numFmtId="3" fontId="3" fillId="0" borderId="0" xfId="0" applyNumberFormat="1" applyFont="1" applyAlignment="1">
      <alignment horizontal="left" readingOrder="2"/>
    </xf>
    <xf numFmtId="3" fontId="3" fillId="0" borderId="0" xfId="0" applyNumberFormat="1" applyFont="1" applyAlignment="1">
      <alignment wrapText="1"/>
    </xf>
    <xf numFmtId="3" fontId="8" fillId="0" borderId="0" xfId="0" applyNumberFormat="1" applyFont="1" applyFill="1" applyAlignment="1">
      <alignment horizontal="right" wrapText="1" readingOrder="2"/>
    </xf>
    <xf numFmtId="3" fontId="3" fillId="0" borderId="7" xfId="0" applyNumberFormat="1" applyFont="1" applyBorder="1" applyAlignment="1">
      <alignment horizontal="center" wrapText="1"/>
    </xf>
    <xf numFmtId="3" fontId="6" fillId="0" borderId="0" xfId="0" applyNumberFormat="1" applyFont="1" applyAlignment="1">
      <alignment horizontal="center" wrapText="1"/>
    </xf>
    <xf numFmtId="3" fontId="3" fillId="0" borderId="0" xfId="0" applyNumberFormat="1" applyFont="1" applyAlignment="1">
      <alignment horizontal="left"/>
    </xf>
    <xf numFmtId="3" fontId="15" fillId="0" borderId="3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left" readingOrder="1"/>
    </xf>
    <xf numFmtId="3" fontId="2" fillId="0" borderId="0" xfId="0" applyNumberFormat="1" applyFont="1" applyAlignment="1">
      <alignment horizontal="left" readingOrder="1"/>
    </xf>
    <xf numFmtId="3" fontId="5" fillId="0" borderId="0" xfId="0" applyNumberFormat="1" applyFont="1" applyAlignment="1">
      <alignment horizontal="left" readingOrder="1"/>
    </xf>
    <xf numFmtId="3" fontId="3" fillId="0" borderId="0" xfId="0" applyNumberFormat="1" applyFont="1" applyAlignment="1">
      <alignment horizontal="right" wrapText="1" readingOrder="2"/>
    </xf>
    <xf numFmtId="3" fontId="3" fillId="0" borderId="0" xfId="0" applyNumberFormat="1" applyFont="1" applyAlignment="1">
      <alignment horizontal="center" wrapText="1" readingOrder="2"/>
    </xf>
    <xf numFmtId="3" fontId="3" fillId="0" borderId="0" xfId="0" applyNumberFormat="1" applyFont="1" applyAlignment="1">
      <alignment horizontal="right" wrapText="1"/>
    </xf>
    <xf numFmtId="9" fontId="10" fillId="0" borderId="0" xfId="1" applyFont="1" applyAlignment="1">
      <alignment wrapText="1"/>
    </xf>
    <xf numFmtId="3" fontId="11" fillId="0" borderId="0" xfId="0" applyNumberFormat="1" applyFont="1" applyAlignment="1">
      <alignment horizontal="right" wrapText="1"/>
    </xf>
    <xf numFmtId="3" fontId="10" fillId="0" borderId="3" xfId="0" applyNumberFormat="1" applyFont="1" applyBorder="1" applyAlignment="1">
      <alignment horizontal="center" wrapText="1"/>
    </xf>
    <xf numFmtId="3" fontId="3" fillId="0" borderId="3" xfId="0" applyNumberFormat="1" applyFont="1" applyFill="1" applyBorder="1" applyAlignment="1">
      <alignment horizontal="center" wrapText="1"/>
    </xf>
    <xf numFmtId="3" fontId="3" fillId="0" borderId="0" xfId="0" applyNumberFormat="1" applyFont="1" applyAlignment="1">
      <alignment horizontal="center" wrapText="1"/>
    </xf>
    <xf numFmtId="3" fontId="11" fillId="0" borderId="0" xfId="0" applyNumberFormat="1" applyFont="1" applyAlignment="1">
      <alignment horizontal="center" wrapText="1"/>
    </xf>
    <xf numFmtId="3" fontId="3" fillId="0" borderId="3" xfId="0" applyNumberFormat="1" applyFont="1" applyBorder="1" applyAlignment="1">
      <alignment horizontal="center" wrapText="1"/>
    </xf>
    <xf numFmtId="3" fontId="3" fillId="0" borderId="8" xfId="0" applyNumberFormat="1" applyFont="1" applyBorder="1" applyAlignment="1">
      <alignment horizontal="center" wrapText="1"/>
    </xf>
    <xf numFmtId="9" fontId="10" fillId="0" borderId="0" xfId="1" applyFont="1" applyFill="1" applyAlignment="1">
      <alignment wrapText="1"/>
    </xf>
    <xf numFmtId="3" fontId="3" fillId="0" borderId="0" xfId="0" applyNumberFormat="1" applyFont="1" applyFill="1" applyAlignment="1">
      <alignment wrapText="1"/>
    </xf>
    <xf numFmtId="3" fontId="9" fillId="0" borderId="0" xfId="0" applyNumberFormat="1" applyFont="1" applyAlignment="1">
      <alignment wrapText="1"/>
    </xf>
    <xf numFmtId="3" fontId="6" fillId="0" borderId="0" xfId="0" applyNumberFormat="1" applyFont="1" applyAlignment="1">
      <alignment horizontal="right" wrapText="1"/>
    </xf>
    <xf numFmtId="3" fontId="3" fillId="0" borderId="0" xfId="0" applyNumberFormat="1" applyFont="1" applyFill="1" applyAlignment="1">
      <alignment horizontal="center" wrapText="1"/>
    </xf>
    <xf numFmtId="3" fontId="3" fillId="0" borderId="0" xfId="0" applyNumberFormat="1" applyFont="1" applyFill="1" applyAlignment="1">
      <alignment horizontal="right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S365"/>
  <sheetViews>
    <sheetView topLeftCell="A96" zoomScaleNormal="100" workbookViewId="0">
      <selection activeCell="A3" sqref="A3"/>
    </sheetView>
  </sheetViews>
  <sheetFormatPr defaultRowHeight="12.5" x14ac:dyDescent="0.25"/>
  <cols>
    <col min="1" max="1" width="33.1796875" style="1" customWidth="1"/>
    <col min="2" max="2" width="24.1796875" style="1" customWidth="1"/>
    <col min="3" max="3" width="20.1796875" style="1" bestFit="1" customWidth="1"/>
    <col min="4" max="4" width="20.1796875" style="1" customWidth="1"/>
    <col min="5" max="5" width="19" style="1" bestFit="1" customWidth="1"/>
    <col min="6" max="6" width="20.1796875" style="1" bestFit="1" customWidth="1"/>
    <col min="7" max="7" width="15.453125" style="1" bestFit="1" customWidth="1"/>
    <col min="8" max="9" width="15.54296875" style="1" bestFit="1" customWidth="1"/>
    <col min="10" max="11" width="9" style="1"/>
    <col min="12" max="12" width="15.54296875" style="1" bestFit="1" customWidth="1"/>
    <col min="13" max="258" width="9" style="1"/>
    <col min="259" max="259" width="33.1796875" style="1" customWidth="1"/>
    <col min="260" max="260" width="9.1796875" style="1" bestFit="1" customWidth="1"/>
    <col min="261" max="261" width="12.7265625" style="1" bestFit="1" customWidth="1"/>
    <col min="262" max="262" width="11.7265625" style="1" customWidth="1"/>
    <col min="263" max="263" width="29.54296875" style="1" customWidth="1"/>
    <col min="264" max="264" width="16.453125" style="1" customWidth="1"/>
    <col min="265" max="265" width="16.453125" style="1" bestFit="1" customWidth="1"/>
    <col min="266" max="266" width="17.1796875" style="1" bestFit="1" customWidth="1"/>
    <col min="267" max="267" width="9.54296875" style="1" customWidth="1"/>
    <col min="268" max="514" width="9" style="1"/>
    <col min="515" max="515" width="33.1796875" style="1" customWidth="1"/>
    <col min="516" max="516" width="9.1796875" style="1" bestFit="1" customWidth="1"/>
    <col min="517" max="517" width="12.7265625" style="1" bestFit="1" customWidth="1"/>
    <col min="518" max="518" width="11.7265625" style="1" customWidth="1"/>
    <col min="519" max="519" width="29.54296875" style="1" customWidth="1"/>
    <col min="520" max="520" width="16.453125" style="1" customWidth="1"/>
    <col min="521" max="521" width="16.453125" style="1" bestFit="1" customWidth="1"/>
    <col min="522" max="522" width="17.1796875" style="1" bestFit="1" customWidth="1"/>
    <col min="523" max="523" width="9.54296875" style="1" customWidth="1"/>
    <col min="524" max="770" width="9" style="1"/>
    <col min="771" max="771" width="33.1796875" style="1" customWidth="1"/>
    <col min="772" max="772" width="9.1796875" style="1" bestFit="1" customWidth="1"/>
    <col min="773" max="773" width="12.7265625" style="1" bestFit="1" customWidth="1"/>
    <col min="774" max="774" width="11.7265625" style="1" customWidth="1"/>
    <col min="775" max="775" width="29.54296875" style="1" customWidth="1"/>
    <col min="776" max="776" width="16.453125" style="1" customWidth="1"/>
    <col min="777" max="777" width="16.453125" style="1" bestFit="1" customWidth="1"/>
    <col min="778" max="778" width="17.1796875" style="1" bestFit="1" customWidth="1"/>
    <col min="779" max="779" width="9.54296875" style="1" customWidth="1"/>
    <col min="780" max="1026" width="9" style="1"/>
    <col min="1027" max="1027" width="33.1796875" style="1" customWidth="1"/>
    <col min="1028" max="1028" width="9.1796875" style="1" bestFit="1" customWidth="1"/>
    <col min="1029" max="1029" width="12.7265625" style="1" bestFit="1" customWidth="1"/>
    <col min="1030" max="1030" width="11.7265625" style="1" customWidth="1"/>
    <col min="1031" max="1031" width="29.54296875" style="1" customWidth="1"/>
    <col min="1032" max="1032" width="16.453125" style="1" customWidth="1"/>
    <col min="1033" max="1033" width="16.453125" style="1" bestFit="1" customWidth="1"/>
    <col min="1034" max="1034" width="17.1796875" style="1" bestFit="1" customWidth="1"/>
    <col min="1035" max="1035" width="9.54296875" style="1" customWidth="1"/>
    <col min="1036" max="1282" width="9" style="1"/>
    <col min="1283" max="1283" width="33.1796875" style="1" customWidth="1"/>
    <col min="1284" max="1284" width="9.1796875" style="1" bestFit="1" customWidth="1"/>
    <col min="1285" max="1285" width="12.7265625" style="1" bestFit="1" customWidth="1"/>
    <col min="1286" max="1286" width="11.7265625" style="1" customWidth="1"/>
    <col min="1287" max="1287" width="29.54296875" style="1" customWidth="1"/>
    <col min="1288" max="1288" width="16.453125" style="1" customWidth="1"/>
    <col min="1289" max="1289" width="16.453125" style="1" bestFit="1" customWidth="1"/>
    <col min="1290" max="1290" width="17.1796875" style="1" bestFit="1" customWidth="1"/>
    <col min="1291" max="1291" width="9.54296875" style="1" customWidth="1"/>
    <col min="1292" max="1538" width="9" style="1"/>
    <col min="1539" max="1539" width="33.1796875" style="1" customWidth="1"/>
    <col min="1540" max="1540" width="9.1796875" style="1" bestFit="1" customWidth="1"/>
    <col min="1541" max="1541" width="12.7265625" style="1" bestFit="1" customWidth="1"/>
    <col min="1542" max="1542" width="11.7265625" style="1" customWidth="1"/>
    <col min="1543" max="1543" width="29.54296875" style="1" customWidth="1"/>
    <col min="1544" max="1544" width="16.453125" style="1" customWidth="1"/>
    <col min="1545" max="1545" width="16.453125" style="1" bestFit="1" customWidth="1"/>
    <col min="1546" max="1546" width="17.1796875" style="1" bestFit="1" customWidth="1"/>
    <col min="1547" max="1547" width="9.54296875" style="1" customWidth="1"/>
    <col min="1548" max="1794" width="9" style="1"/>
    <col min="1795" max="1795" width="33.1796875" style="1" customWidth="1"/>
    <col min="1796" max="1796" width="9.1796875" style="1" bestFit="1" customWidth="1"/>
    <col min="1797" max="1797" width="12.7265625" style="1" bestFit="1" customWidth="1"/>
    <col min="1798" max="1798" width="11.7265625" style="1" customWidth="1"/>
    <col min="1799" max="1799" width="29.54296875" style="1" customWidth="1"/>
    <col min="1800" max="1800" width="16.453125" style="1" customWidth="1"/>
    <col min="1801" max="1801" width="16.453125" style="1" bestFit="1" customWidth="1"/>
    <col min="1802" max="1802" width="17.1796875" style="1" bestFit="1" customWidth="1"/>
    <col min="1803" max="1803" width="9.54296875" style="1" customWidth="1"/>
    <col min="1804" max="2050" width="9" style="1"/>
    <col min="2051" max="2051" width="33.1796875" style="1" customWidth="1"/>
    <col min="2052" max="2052" width="9.1796875" style="1" bestFit="1" customWidth="1"/>
    <col min="2053" max="2053" width="12.7265625" style="1" bestFit="1" customWidth="1"/>
    <col min="2054" max="2054" width="11.7265625" style="1" customWidth="1"/>
    <col min="2055" max="2055" width="29.54296875" style="1" customWidth="1"/>
    <col min="2056" max="2056" width="16.453125" style="1" customWidth="1"/>
    <col min="2057" max="2057" width="16.453125" style="1" bestFit="1" customWidth="1"/>
    <col min="2058" max="2058" width="17.1796875" style="1" bestFit="1" customWidth="1"/>
    <col min="2059" max="2059" width="9.54296875" style="1" customWidth="1"/>
    <col min="2060" max="2306" width="9" style="1"/>
    <col min="2307" max="2307" width="33.1796875" style="1" customWidth="1"/>
    <col min="2308" max="2308" width="9.1796875" style="1" bestFit="1" customWidth="1"/>
    <col min="2309" max="2309" width="12.7265625" style="1" bestFit="1" customWidth="1"/>
    <col min="2310" max="2310" width="11.7265625" style="1" customWidth="1"/>
    <col min="2311" max="2311" width="29.54296875" style="1" customWidth="1"/>
    <col min="2312" max="2312" width="16.453125" style="1" customWidth="1"/>
    <col min="2313" max="2313" width="16.453125" style="1" bestFit="1" customWidth="1"/>
    <col min="2314" max="2314" width="17.1796875" style="1" bestFit="1" customWidth="1"/>
    <col min="2315" max="2315" width="9.54296875" style="1" customWidth="1"/>
    <col min="2316" max="2562" width="9" style="1"/>
    <col min="2563" max="2563" width="33.1796875" style="1" customWidth="1"/>
    <col min="2564" max="2564" width="9.1796875" style="1" bestFit="1" customWidth="1"/>
    <col min="2565" max="2565" width="12.7265625" style="1" bestFit="1" customWidth="1"/>
    <col min="2566" max="2566" width="11.7265625" style="1" customWidth="1"/>
    <col min="2567" max="2567" width="29.54296875" style="1" customWidth="1"/>
    <col min="2568" max="2568" width="16.453125" style="1" customWidth="1"/>
    <col min="2569" max="2569" width="16.453125" style="1" bestFit="1" customWidth="1"/>
    <col min="2570" max="2570" width="17.1796875" style="1" bestFit="1" customWidth="1"/>
    <col min="2571" max="2571" width="9.54296875" style="1" customWidth="1"/>
    <col min="2572" max="2818" width="9" style="1"/>
    <col min="2819" max="2819" width="33.1796875" style="1" customWidth="1"/>
    <col min="2820" max="2820" width="9.1796875" style="1" bestFit="1" customWidth="1"/>
    <col min="2821" max="2821" width="12.7265625" style="1" bestFit="1" customWidth="1"/>
    <col min="2822" max="2822" width="11.7265625" style="1" customWidth="1"/>
    <col min="2823" max="2823" width="29.54296875" style="1" customWidth="1"/>
    <col min="2824" max="2824" width="16.453125" style="1" customWidth="1"/>
    <col min="2825" max="2825" width="16.453125" style="1" bestFit="1" customWidth="1"/>
    <col min="2826" max="2826" width="17.1796875" style="1" bestFit="1" customWidth="1"/>
    <col min="2827" max="2827" width="9.54296875" style="1" customWidth="1"/>
    <col min="2828" max="3074" width="9" style="1"/>
    <col min="3075" max="3075" width="33.1796875" style="1" customWidth="1"/>
    <col min="3076" max="3076" width="9.1796875" style="1" bestFit="1" customWidth="1"/>
    <col min="3077" max="3077" width="12.7265625" style="1" bestFit="1" customWidth="1"/>
    <col min="3078" max="3078" width="11.7265625" style="1" customWidth="1"/>
    <col min="3079" max="3079" width="29.54296875" style="1" customWidth="1"/>
    <col min="3080" max="3080" width="16.453125" style="1" customWidth="1"/>
    <col min="3081" max="3081" width="16.453125" style="1" bestFit="1" customWidth="1"/>
    <col min="3082" max="3082" width="17.1796875" style="1" bestFit="1" customWidth="1"/>
    <col min="3083" max="3083" width="9.54296875" style="1" customWidth="1"/>
    <col min="3084" max="3330" width="9" style="1"/>
    <col min="3331" max="3331" width="33.1796875" style="1" customWidth="1"/>
    <col min="3332" max="3332" width="9.1796875" style="1" bestFit="1" customWidth="1"/>
    <col min="3333" max="3333" width="12.7265625" style="1" bestFit="1" customWidth="1"/>
    <col min="3334" max="3334" width="11.7265625" style="1" customWidth="1"/>
    <col min="3335" max="3335" width="29.54296875" style="1" customWidth="1"/>
    <col min="3336" max="3336" width="16.453125" style="1" customWidth="1"/>
    <col min="3337" max="3337" width="16.453125" style="1" bestFit="1" customWidth="1"/>
    <col min="3338" max="3338" width="17.1796875" style="1" bestFit="1" customWidth="1"/>
    <col min="3339" max="3339" width="9.54296875" style="1" customWidth="1"/>
    <col min="3340" max="3586" width="9" style="1"/>
    <col min="3587" max="3587" width="33.1796875" style="1" customWidth="1"/>
    <col min="3588" max="3588" width="9.1796875" style="1" bestFit="1" customWidth="1"/>
    <col min="3589" max="3589" width="12.7265625" style="1" bestFit="1" customWidth="1"/>
    <col min="3590" max="3590" width="11.7265625" style="1" customWidth="1"/>
    <col min="3591" max="3591" width="29.54296875" style="1" customWidth="1"/>
    <col min="3592" max="3592" width="16.453125" style="1" customWidth="1"/>
    <col min="3593" max="3593" width="16.453125" style="1" bestFit="1" customWidth="1"/>
    <col min="3594" max="3594" width="17.1796875" style="1" bestFit="1" customWidth="1"/>
    <col min="3595" max="3595" width="9.54296875" style="1" customWidth="1"/>
    <col min="3596" max="3842" width="9" style="1"/>
    <col min="3843" max="3843" width="33.1796875" style="1" customWidth="1"/>
    <col min="3844" max="3844" width="9.1796875" style="1" bestFit="1" customWidth="1"/>
    <col min="3845" max="3845" width="12.7265625" style="1" bestFit="1" customWidth="1"/>
    <col min="3846" max="3846" width="11.7265625" style="1" customWidth="1"/>
    <col min="3847" max="3847" width="29.54296875" style="1" customWidth="1"/>
    <col min="3848" max="3848" width="16.453125" style="1" customWidth="1"/>
    <col min="3849" max="3849" width="16.453125" style="1" bestFit="1" customWidth="1"/>
    <col min="3850" max="3850" width="17.1796875" style="1" bestFit="1" customWidth="1"/>
    <col min="3851" max="3851" width="9.54296875" style="1" customWidth="1"/>
    <col min="3852" max="4098" width="9" style="1"/>
    <col min="4099" max="4099" width="33.1796875" style="1" customWidth="1"/>
    <col min="4100" max="4100" width="9.1796875" style="1" bestFit="1" customWidth="1"/>
    <col min="4101" max="4101" width="12.7265625" style="1" bestFit="1" customWidth="1"/>
    <col min="4102" max="4102" width="11.7265625" style="1" customWidth="1"/>
    <col min="4103" max="4103" width="29.54296875" style="1" customWidth="1"/>
    <col min="4104" max="4104" width="16.453125" style="1" customWidth="1"/>
    <col min="4105" max="4105" width="16.453125" style="1" bestFit="1" customWidth="1"/>
    <col min="4106" max="4106" width="17.1796875" style="1" bestFit="1" customWidth="1"/>
    <col min="4107" max="4107" width="9.54296875" style="1" customWidth="1"/>
    <col min="4108" max="4354" width="9" style="1"/>
    <col min="4355" max="4355" width="33.1796875" style="1" customWidth="1"/>
    <col min="4356" max="4356" width="9.1796875" style="1" bestFit="1" customWidth="1"/>
    <col min="4357" max="4357" width="12.7265625" style="1" bestFit="1" customWidth="1"/>
    <col min="4358" max="4358" width="11.7265625" style="1" customWidth="1"/>
    <col min="4359" max="4359" width="29.54296875" style="1" customWidth="1"/>
    <col min="4360" max="4360" width="16.453125" style="1" customWidth="1"/>
    <col min="4361" max="4361" width="16.453125" style="1" bestFit="1" customWidth="1"/>
    <col min="4362" max="4362" width="17.1796875" style="1" bestFit="1" customWidth="1"/>
    <col min="4363" max="4363" width="9.54296875" style="1" customWidth="1"/>
    <col min="4364" max="4610" width="9" style="1"/>
    <col min="4611" max="4611" width="33.1796875" style="1" customWidth="1"/>
    <col min="4612" max="4612" width="9.1796875" style="1" bestFit="1" customWidth="1"/>
    <col min="4613" max="4613" width="12.7265625" style="1" bestFit="1" customWidth="1"/>
    <col min="4614" max="4614" width="11.7265625" style="1" customWidth="1"/>
    <col min="4615" max="4615" width="29.54296875" style="1" customWidth="1"/>
    <col min="4616" max="4616" width="16.453125" style="1" customWidth="1"/>
    <col min="4617" max="4617" width="16.453125" style="1" bestFit="1" customWidth="1"/>
    <col min="4618" max="4618" width="17.1796875" style="1" bestFit="1" customWidth="1"/>
    <col min="4619" max="4619" width="9.54296875" style="1" customWidth="1"/>
    <col min="4620" max="4866" width="9" style="1"/>
    <col min="4867" max="4867" width="33.1796875" style="1" customWidth="1"/>
    <col min="4868" max="4868" width="9.1796875" style="1" bestFit="1" customWidth="1"/>
    <col min="4869" max="4869" width="12.7265625" style="1" bestFit="1" customWidth="1"/>
    <col min="4870" max="4870" width="11.7265625" style="1" customWidth="1"/>
    <col min="4871" max="4871" width="29.54296875" style="1" customWidth="1"/>
    <col min="4872" max="4872" width="16.453125" style="1" customWidth="1"/>
    <col min="4873" max="4873" width="16.453125" style="1" bestFit="1" customWidth="1"/>
    <col min="4874" max="4874" width="17.1796875" style="1" bestFit="1" customWidth="1"/>
    <col min="4875" max="4875" width="9.54296875" style="1" customWidth="1"/>
    <col min="4876" max="5122" width="9" style="1"/>
    <col min="5123" max="5123" width="33.1796875" style="1" customWidth="1"/>
    <col min="5124" max="5124" width="9.1796875" style="1" bestFit="1" customWidth="1"/>
    <col min="5125" max="5125" width="12.7265625" style="1" bestFit="1" customWidth="1"/>
    <col min="5126" max="5126" width="11.7265625" style="1" customWidth="1"/>
    <col min="5127" max="5127" width="29.54296875" style="1" customWidth="1"/>
    <col min="5128" max="5128" width="16.453125" style="1" customWidth="1"/>
    <col min="5129" max="5129" width="16.453125" style="1" bestFit="1" customWidth="1"/>
    <col min="5130" max="5130" width="17.1796875" style="1" bestFit="1" customWidth="1"/>
    <col min="5131" max="5131" width="9.54296875" style="1" customWidth="1"/>
    <col min="5132" max="5378" width="9" style="1"/>
    <col min="5379" max="5379" width="33.1796875" style="1" customWidth="1"/>
    <col min="5380" max="5380" width="9.1796875" style="1" bestFit="1" customWidth="1"/>
    <col min="5381" max="5381" width="12.7265625" style="1" bestFit="1" customWidth="1"/>
    <col min="5382" max="5382" width="11.7265625" style="1" customWidth="1"/>
    <col min="5383" max="5383" width="29.54296875" style="1" customWidth="1"/>
    <col min="5384" max="5384" width="16.453125" style="1" customWidth="1"/>
    <col min="5385" max="5385" width="16.453125" style="1" bestFit="1" customWidth="1"/>
    <col min="5386" max="5386" width="17.1796875" style="1" bestFit="1" customWidth="1"/>
    <col min="5387" max="5387" width="9.54296875" style="1" customWidth="1"/>
    <col min="5388" max="5634" width="9" style="1"/>
    <col min="5635" max="5635" width="33.1796875" style="1" customWidth="1"/>
    <col min="5636" max="5636" width="9.1796875" style="1" bestFit="1" customWidth="1"/>
    <col min="5637" max="5637" width="12.7265625" style="1" bestFit="1" customWidth="1"/>
    <col min="5638" max="5638" width="11.7265625" style="1" customWidth="1"/>
    <col min="5639" max="5639" width="29.54296875" style="1" customWidth="1"/>
    <col min="5640" max="5640" width="16.453125" style="1" customWidth="1"/>
    <col min="5641" max="5641" width="16.453125" style="1" bestFit="1" customWidth="1"/>
    <col min="5642" max="5642" width="17.1796875" style="1" bestFit="1" customWidth="1"/>
    <col min="5643" max="5643" width="9.54296875" style="1" customWidth="1"/>
    <col min="5644" max="5890" width="9" style="1"/>
    <col min="5891" max="5891" width="33.1796875" style="1" customWidth="1"/>
    <col min="5892" max="5892" width="9.1796875" style="1" bestFit="1" customWidth="1"/>
    <col min="5893" max="5893" width="12.7265625" style="1" bestFit="1" customWidth="1"/>
    <col min="5894" max="5894" width="11.7265625" style="1" customWidth="1"/>
    <col min="5895" max="5895" width="29.54296875" style="1" customWidth="1"/>
    <col min="5896" max="5896" width="16.453125" style="1" customWidth="1"/>
    <col min="5897" max="5897" width="16.453125" style="1" bestFit="1" customWidth="1"/>
    <col min="5898" max="5898" width="17.1796875" style="1" bestFit="1" customWidth="1"/>
    <col min="5899" max="5899" width="9.54296875" style="1" customWidth="1"/>
    <col min="5900" max="6146" width="9" style="1"/>
    <col min="6147" max="6147" width="33.1796875" style="1" customWidth="1"/>
    <col min="6148" max="6148" width="9.1796875" style="1" bestFit="1" customWidth="1"/>
    <col min="6149" max="6149" width="12.7265625" style="1" bestFit="1" customWidth="1"/>
    <col min="6150" max="6150" width="11.7265625" style="1" customWidth="1"/>
    <col min="6151" max="6151" width="29.54296875" style="1" customWidth="1"/>
    <col min="6152" max="6152" width="16.453125" style="1" customWidth="1"/>
    <col min="6153" max="6153" width="16.453125" style="1" bestFit="1" customWidth="1"/>
    <col min="6154" max="6154" width="17.1796875" style="1" bestFit="1" customWidth="1"/>
    <col min="6155" max="6155" width="9.54296875" style="1" customWidth="1"/>
    <col min="6156" max="6402" width="9" style="1"/>
    <col min="6403" max="6403" width="33.1796875" style="1" customWidth="1"/>
    <col min="6404" max="6404" width="9.1796875" style="1" bestFit="1" customWidth="1"/>
    <col min="6405" max="6405" width="12.7265625" style="1" bestFit="1" customWidth="1"/>
    <col min="6406" max="6406" width="11.7265625" style="1" customWidth="1"/>
    <col min="6407" max="6407" width="29.54296875" style="1" customWidth="1"/>
    <col min="6408" max="6408" width="16.453125" style="1" customWidth="1"/>
    <col min="6409" max="6409" width="16.453125" style="1" bestFit="1" customWidth="1"/>
    <col min="6410" max="6410" width="17.1796875" style="1" bestFit="1" customWidth="1"/>
    <col min="6411" max="6411" width="9.54296875" style="1" customWidth="1"/>
    <col min="6412" max="6658" width="9" style="1"/>
    <col min="6659" max="6659" width="33.1796875" style="1" customWidth="1"/>
    <col min="6660" max="6660" width="9.1796875" style="1" bestFit="1" customWidth="1"/>
    <col min="6661" max="6661" width="12.7265625" style="1" bestFit="1" customWidth="1"/>
    <col min="6662" max="6662" width="11.7265625" style="1" customWidth="1"/>
    <col min="6663" max="6663" width="29.54296875" style="1" customWidth="1"/>
    <col min="6664" max="6664" width="16.453125" style="1" customWidth="1"/>
    <col min="6665" max="6665" width="16.453125" style="1" bestFit="1" customWidth="1"/>
    <col min="6666" max="6666" width="17.1796875" style="1" bestFit="1" customWidth="1"/>
    <col min="6667" max="6667" width="9.54296875" style="1" customWidth="1"/>
    <col min="6668" max="6914" width="9" style="1"/>
    <col min="6915" max="6915" width="33.1796875" style="1" customWidth="1"/>
    <col min="6916" max="6916" width="9.1796875" style="1" bestFit="1" customWidth="1"/>
    <col min="6917" max="6917" width="12.7265625" style="1" bestFit="1" customWidth="1"/>
    <col min="6918" max="6918" width="11.7265625" style="1" customWidth="1"/>
    <col min="6919" max="6919" width="29.54296875" style="1" customWidth="1"/>
    <col min="6920" max="6920" width="16.453125" style="1" customWidth="1"/>
    <col min="6921" max="6921" width="16.453125" style="1" bestFit="1" customWidth="1"/>
    <col min="6922" max="6922" width="17.1796875" style="1" bestFit="1" customWidth="1"/>
    <col min="6923" max="6923" width="9.54296875" style="1" customWidth="1"/>
    <col min="6924" max="7170" width="9" style="1"/>
    <col min="7171" max="7171" width="33.1796875" style="1" customWidth="1"/>
    <col min="7172" max="7172" width="9.1796875" style="1" bestFit="1" customWidth="1"/>
    <col min="7173" max="7173" width="12.7265625" style="1" bestFit="1" customWidth="1"/>
    <col min="7174" max="7174" width="11.7265625" style="1" customWidth="1"/>
    <col min="7175" max="7175" width="29.54296875" style="1" customWidth="1"/>
    <col min="7176" max="7176" width="16.453125" style="1" customWidth="1"/>
    <col min="7177" max="7177" width="16.453125" style="1" bestFit="1" customWidth="1"/>
    <col min="7178" max="7178" width="17.1796875" style="1" bestFit="1" customWidth="1"/>
    <col min="7179" max="7179" width="9.54296875" style="1" customWidth="1"/>
    <col min="7180" max="7426" width="9" style="1"/>
    <col min="7427" max="7427" width="33.1796875" style="1" customWidth="1"/>
    <col min="7428" max="7428" width="9.1796875" style="1" bestFit="1" customWidth="1"/>
    <col min="7429" max="7429" width="12.7265625" style="1" bestFit="1" customWidth="1"/>
    <col min="7430" max="7430" width="11.7265625" style="1" customWidth="1"/>
    <col min="7431" max="7431" width="29.54296875" style="1" customWidth="1"/>
    <col min="7432" max="7432" width="16.453125" style="1" customWidth="1"/>
    <col min="7433" max="7433" width="16.453125" style="1" bestFit="1" customWidth="1"/>
    <col min="7434" max="7434" width="17.1796875" style="1" bestFit="1" customWidth="1"/>
    <col min="7435" max="7435" width="9.54296875" style="1" customWidth="1"/>
    <col min="7436" max="7682" width="9" style="1"/>
    <col min="7683" max="7683" width="33.1796875" style="1" customWidth="1"/>
    <col min="7684" max="7684" width="9.1796875" style="1" bestFit="1" customWidth="1"/>
    <col min="7685" max="7685" width="12.7265625" style="1" bestFit="1" customWidth="1"/>
    <col min="7686" max="7686" width="11.7265625" style="1" customWidth="1"/>
    <col min="7687" max="7687" width="29.54296875" style="1" customWidth="1"/>
    <col min="7688" max="7688" width="16.453125" style="1" customWidth="1"/>
    <col min="7689" max="7689" width="16.453125" style="1" bestFit="1" customWidth="1"/>
    <col min="7690" max="7690" width="17.1796875" style="1" bestFit="1" customWidth="1"/>
    <col min="7691" max="7691" width="9.54296875" style="1" customWidth="1"/>
    <col min="7692" max="7938" width="9" style="1"/>
    <col min="7939" max="7939" width="33.1796875" style="1" customWidth="1"/>
    <col min="7940" max="7940" width="9.1796875" style="1" bestFit="1" customWidth="1"/>
    <col min="7941" max="7941" width="12.7265625" style="1" bestFit="1" customWidth="1"/>
    <col min="7942" max="7942" width="11.7265625" style="1" customWidth="1"/>
    <col min="7943" max="7943" width="29.54296875" style="1" customWidth="1"/>
    <col min="7944" max="7944" width="16.453125" style="1" customWidth="1"/>
    <col min="7945" max="7945" width="16.453125" style="1" bestFit="1" customWidth="1"/>
    <col min="7946" max="7946" width="17.1796875" style="1" bestFit="1" customWidth="1"/>
    <col min="7947" max="7947" width="9.54296875" style="1" customWidth="1"/>
    <col min="7948" max="8194" width="9" style="1"/>
    <col min="8195" max="8195" width="33.1796875" style="1" customWidth="1"/>
    <col min="8196" max="8196" width="9.1796875" style="1" bestFit="1" customWidth="1"/>
    <col min="8197" max="8197" width="12.7265625" style="1" bestFit="1" customWidth="1"/>
    <col min="8198" max="8198" width="11.7265625" style="1" customWidth="1"/>
    <col min="8199" max="8199" width="29.54296875" style="1" customWidth="1"/>
    <col min="8200" max="8200" width="16.453125" style="1" customWidth="1"/>
    <col min="8201" max="8201" width="16.453125" style="1" bestFit="1" customWidth="1"/>
    <col min="8202" max="8202" width="17.1796875" style="1" bestFit="1" customWidth="1"/>
    <col min="8203" max="8203" width="9.54296875" style="1" customWidth="1"/>
    <col min="8204" max="8450" width="9" style="1"/>
    <col min="8451" max="8451" width="33.1796875" style="1" customWidth="1"/>
    <col min="8452" max="8452" width="9.1796875" style="1" bestFit="1" customWidth="1"/>
    <col min="8453" max="8453" width="12.7265625" style="1" bestFit="1" customWidth="1"/>
    <col min="8454" max="8454" width="11.7265625" style="1" customWidth="1"/>
    <col min="8455" max="8455" width="29.54296875" style="1" customWidth="1"/>
    <col min="8456" max="8456" width="16.453125" style="1" customWidth="1"/>
    <col min="8457" max="8457" width="16.453125" style="1" bestFit="1" customWidth="1"/>
    <col min="8458" max="8458" width="17.1796875" style="1" bestFit="1" customWidth="1"/>
    <col min="8459" max="8459" width="9.54296875" style="1" customWidth="1"/>
    <col min="8460" max="8706" width="9" style="1"/>
    <col min="8707" max="8707" width="33.1796875" style="1" customWidth="1"/>
    <col min="8708" max="8708" width="9.1796875" style="1" bestFit="1" customWidth="1"/>
    <col min="8709" max="8709" width="12.7265625" style="1" bestFit="1" customWidth="1"/>
    <col min="8710" max="8710" width="11.7265625" style="1" customWidth="1"/>
    <col min="8711" max="8711" width="29.54296875" style="1" customWidth="1"/>
    <col min="8712" max="8712" width="16.453125" style="1" customWidth="1"/>
    <col min="8713" max="8713" width="16.453125" style="1" bestFit="1" customWidth="1"/>
    <col min="8714" max="8714" width="17.1796875" style="1" bestFit="1" customWidth="1"/>
    <col min="8715" max="8715" width="9.54296875" style="1" customWidth="1"/>
    <col min="8716" max="8962" width="9" style="1"/>
    <col min="8963" max="8963" width="33.1796875" style="1" customWidth="1"/>
    <col min="8964" max="8964" width="9.1796875" style="1" bestFit="1" customWidth="1"/>
    <col min="8965" max="8965" width="12.7265625" style="1" bestFit="1" customWidth="1"/>
    <col min="8966" max="8966" width="11.7265625" style="1" customWidth="1"/>
    <col min="8967" max="8967" width="29.54296875" style="1" customWidth="1"/>
    <col min="8968" max="8968" width="16.453125" style="1" customWidth="1"/>
    <col min="8969" max="8969" width="16.453125" style="1" bestFit="1" customWidth="1"/>
    <col min="8970" max="8970" width="17.1796875" style="1" bestFit="1" customWidth="1"/>
    <col min="8971" max="8971" width="9.54296875" style="1" customWidth="1"/>
    <col min="8972" max="9218" width="9" style="1"/>
    <col min="9219" max="9219" width="33.1796875" style="1" customWidth="1"/>
    <col min="9220" max="9220" width="9.1796875" style="1" bestFit="1" customWidth="1"/>
    <col min="9221" max="9221" width="12.7265625" style="1" bestFit="1" customWidth="1"/>
    <col min="9222" max="9222" width="11.7265625" style="1" customWidth="1"/>
    <col min="9223" max="9223" width="29.54296875" style="1" customWidth="1"/>
    <col min="9224" max="9224" width="16.453125" style="1" customWidth="1"/>
    <col min="9225" max="9225" width="16.453125" style="1" bestFit="1" customWidth="1"/>
    <col min="9226" max="9226" width="17.1796875" style="1" bestFit="1" customWidth="1"/>
    <col min="9227" max="9227" width="9.54296875" style="1" customWidth="1"/>
    <col min="9228" max="9474" width="9" style="1"/>
    <col min="9475" max="9475" width="33.1796875" style="1" customWidth="1"/>
    <col min="9476" max="9476" width="9.1796875" style="1" bestFit="1" customWidth="1"/>
    <col min="9477" max="9477" width="12.7265625" style="1" bestFit="1" customWidth="1"/>
    <col min="9478" max="9478" width="11.7265625" style="1" customWidth="1"/>
    <col min="9479" max="9479" width="29.54296875" style="1" customWidth="1"/>
    <col min="9480" max="9480" width="16.453125" style="1" customWidth="1"/>
    <col min="9481" max="9481" width="16.453125" style="1" bestFit="1" customWidth="1"/>
    <col min="9482" max="9482" width="17.1796875" style="1" bestFit="1" customWidth="1"/>
    <col min="9483" max="9483" width="9.54296875" style="1" customWidth="1"/>
    <col min="9484" max="9730" width="9" style="1"/>
    <col min="9731" max="9731" width="33.1796875" style="1" customWidth="1"/>
    <col min="9732" max="9732" width="9.1796875" style="1" bestFit="1" customWidth="1"/>
    <col min="9733" max="9733" width="12.7265625" style="1" bestFit="1" customWidth="1"/>
    <col min="9734" max="9734" width="11.7265625" style="1" customWidth="1"/>
    <col min="9735" max="9735" width="29.54296875" style="1" customWidth="1"/>
    <col min="9736" max="9736" width="16.453125" style="1" customWidth="1"/>
    <col min="9737" max="9737" width="16.453125" style="1" bestFit="1" customWidth="1"/>
    <col min="9738" max="9738" width="17.1796875" style="1" bestFit="1" customWidth="1"/>
    <col min="9739" max="9739" width="9.54296875" style="1" customWidth="1"/>
    <col min="9740" max="9986" width="9" style="1"/>
    <col min="9987" max="9987" width="33.1796875" style="1" customWidth="1"/>
    <col min="9988" max="9988" width="9.1796875" style="1" bestFit="1" customWidth="1"/>
    <col min="9989" max="9989" width="12.7265625" style="1" bestFit="1" customWidth="1"/>
    <col min="9990" max="9990" width="11.7265625" style="1" customWidth="1"/>
    <col min="9991" max="9991" width="29.54296875" style="1" customWidth="1"/>
    <col min="9992" max="9992" width="16.453125" style="1" customWidth="1"/>
    <col min="9993" max="9993" width="16.453125" style="1" bestFit="1" customWidth="1"/>
    <col min="9994" max="9994" width="17.1796875" style="1" bestFit="1" customWidth="1"/>
    <col min="9995" max="9995" width="9.54296875" style="1" customWidth="1"/>
    <col min="9996" max="10242" width="9" style="1"/>
    <col min="10243" max="10243" width="33.1796875" style="1" customWidth="1"/>
    <col min="10244" max="10244" width="9.1796875" style="1" bestFit="1" customWidth="1"/>
    <col min="10245" max="10245" width="12.7265625" style="1" bestFit="1" customWidth="1"/>
    <col min="10246" max="10246" width="11.7265625" style="1" customWidth="1"/>
    <col min="10247" max="10247" width="29.54296875" style="1" customWidth="1"/>
    <col min="10248" max="10248" width="16.453125" style="1" customWidth="1"/>
    <col min="10249" max="10249" width="16.453125" style="1" bestFit="1" customWidth="1"/>
    <col min="10250" max="10250" width="17.1796875" style="1" bestFit="1" customWidth="1"/>
    <col min="10251" max="10251" width="9.54296875" style="1" customWidth="1"/>
    <col min="10252" max="10498" width="9" style="1"/>
    <col min="10499" max="10499" width="33.1796875" style="1" customWidth="1"/>
    <col min="10500" max="10500" width="9.1796875" style="1" bestFit="1" customWidth="1"/>
    <col min="10501" max="10501" width="12.7265625" style="1" bestFit="1" customWidth="1"/>
    <col min="10502" max="10502" width="11.7265625" style="1" customWidth="1"/>
    <col min="10503" max="10503" width="29.54296875" style="1" customWidth="1"/>
    <col min="10504" max="10504" width="16.453125" style="1" customWidth="1"/>
    <col min="10505" max="10505" width="16.453125" style="1" bestFit="1" customWidth="1"/>
    <col min="10506" max="10506" width="17.1796875" style="1" bestFit="1" customWidth="1"/>
    <col min="10507" max="10507" width="9.54296875" style="1" customWidth="1"/>
    <col min="10508" max="10754" width="9" style="1"/>
    <col min="10755" max="10755" width="33.1796875" style="1" customWidth="1"/>
    <col min="10756" max="10756" width="9.1796875" style="1" bestFit="1" customWidth="1"/>
    <col min="10757" max="10757" width="12.7265625" style="1" bestFit="1" customWidth="1"/>
    <col min="10758" max="10758" width="11.7265625" style="1" customWidth="1"/>
    <col min="10759" max="10759" width="29.54296875" style="1" customWidth="1"/>
    <col min="10760" max="10760" width="16.453125" style="1" customWidth="1"/>
    <col min="10761" max="10761" width="16.453125" style="1" bestFit="1" customWidth="1"/>
    <col min="10762" max="10762" width="17.1796875" style="1" bestFit="1" customWidth="1"/>
    <col min="10763" max="10763" width="9.54296875" style="1" customWidth="1"/>
    <col min="10764" max="11010" width="9" style="1"/>
    <col min="11011" max="11011" width="33.1796875" style="1" customWidth="1"/>
    <col min="11012" max="11012" width="9.1796875" style="1" bestFit="1" customWidth="1"/>
    <col min="11013" max="11013" width="12.7265625" style="1" bestFit="1" customWidth="1"/>
    <col min="11014" max="11014" width="11.7265625" style="1" customWidth="1"/>
    <col min="11015" max="11015" width="29.54296875" style="1" customWidth="1"/>
    <col min="11016" max="11016" width="16.453125" style="1" customWidth="1"/>
    <col min="11017" max="11017" width="16.453125" style="1" bestFit="1" customWidth="1"/>
    <col min="11018" max="11018" width="17.1796875" style="1" bestFit="1" customWidth="1"/>
    <col min="11019" max="11019" width="9.54296875" style="1" customWidth="1"/>
    <col min="11020" max="11266" width="9" style="1"/>
    <col min="11267" max="11267" width="33.1796875" style="1" customWidth="1"/>
    <col min="11268" max="11268" width="9.1796875" style="1" bestFit="1" customWidth="1"/>
    <col min="11269" max="11269" width="12.7265625" style="1" bestFit="1" customWidth="1"/>
    <col min="11270" max="11270" width="11.7265625" style="1" customWidth="1"/>
    <col min="11271" max="11271" width="29.54296875" style="1" customWidth="1"/>
    <col min="11272" max="11272" width="16.453125" style="1" customWidth="1"/>
    <col min="11273" max="11273" width="16.453125" style="1" bestFit="1" customWidth="1"/>
    <col min="11274" max="11274" width="17.1796875" style="1" bestFit="1" customWidth="1"/>
    <col min="11275" max="11275" width="9.54296875" style="1" customWidth="1"/>
    <col min="11276" max="11522" width="9" style="1"/>
    <col min="11523" max="11523" width="33.1796875" style="1" customWidth="1"/>
    <col min="11524" max="11524" width="9.1796875" style="1" bestFit="1" customWidth="1"/>
    <col min="11525" max="11525" width="12.7265625" style="1" bestFit="1" customWidth="1"/>
    <col min="11526" max="11526" width="11.7265625" style="1" customWidth="1"/>
    <col min="11527" max="11527" width="29.54296875" style="1" customWidth="1"/>
    <col min="11528" max="11528" width="16.453125" style="1" customWidth="1"/>
    <col min="11529" max="11529" width="16.453125" style="1" bestFit="1" customWidth="1"/>
    <col min="11530" max="11530" width="17.1796875" style="1" bestFit="1" customWidth="1"/>
    <col min="11531" max="11531" width="9.54296875" style="1" customWidth="1"/>
    <col min="11532" max="11778" width="9" style="1"/>
    <col min="11779" max="11779" width="33.1796875" style="1" customWidth="1"/>
    <col min="11780" max="11780" width="9.1796875" style="1" bestFit="1" customWidth="1"/>
    <col min="11781" max="11781" width="12.7265625" style="1" bestFit="1" customWidth="1"/>
    <col min="11782" max="11782" width="11.7265625" style="1" customWidth="1"/>
    <col min="11783" max="11783" width="29.54296875" style="1" customWidth="1"/>
    <col min="11784" max="11784" width="16.453125" style="1" customWidth="1"/>
    <col min="11785" max="11785" width="16.453125" style="1" bestFit="1" customWidth="1"/>
    <col min="11786" max="11786" width="17.1796875" style="1" bestFit="1" customWidth="1"/>
    <col min="11787" max="11787" width="9.54296875" style="1" customWidth="1"/>
    <col min="11788" max="12034" width="9" style="1"/>
    <col min="12035" max="12035" width="33.1796875" style="1" customWidth="1"/>
    <col min="12036" max="12036" width="9.1796875" style="1" bestFit="1" customWidth="1"/>
    <col min="12037" max="12037" width="12.7265625" style="1" bestFit="1" customWidth="1"/>
    <col min="12038" max="12038" width="11.7265625" style="1" customWidth="1"/>
    <col min="12039" max="12039" width="29.54296875" style="1" customWidth="1"/>
    <col min="12040" max="12040" width="16.453125" style="1" customWidth="1"/>
    <col min="12041" max="12041" width="16.453125" style="1" bestFit="1" customWidth="1"/>
    <col min="12042" max="12042" width="17.1796875" style="1" bestFit="1" customWidth="1"/>
    <col min="12043" max="12043" width="9.54296875" style="1" customWidth="1"/>
    <col min="12044" max="12290" width="9" style="1"/>
    <col min="12291" max="12291" width="33.1796875" style="1" customWidth="1"/>
    <col min="12292" max="12292" width="9.1796875" style="1" bestFit="1" customWidth="1"/>
    <col min="12293" max="12293" width="12.7265625" style="1" bestFit="1" customWidth="1"/>
    <col min="12294" max="12294" width="11.7265625" style="1" customWidth="1"/>
    <col min="12295" max="12295" width="29.54296875" style="1" customWidth="1"/>
    <col min="12296" max="12296" width="16.453125" style="1" customWidth="1"/>
    <col min="12297" max="12297" width="16.453125" style="1" bestFit="1" customWidth="1"/>
    <col min="12298" max="12298" width="17.1796875" style="1" bestFit="1" customWidth="1"/>
    <col min="12299" max="12299" width="9.54296875" style="1" customWidth="1"/>
    <col min="12300" max="12546" width="9" style="1"/>
    <col min="12547" max="12547" width="33.1796875" style="1" customWidth="1"/>
    <col min="12548" max="12548" width="9.1796875" style="1" bestFit="1" customWidth="1"/>
    <col min="12549" max="12549" width="12.7265625" style="1" bestFit="1" customWidth="1"/>
    <col min="12550" max="12550" width="11.7265625" style="1" customWidth="1"/>
    <col min="12551" max="12551" width="29.54296875" style="1" customWidth="1"/>
    <col min="12552" max="12552" width="16.453125" style="1" customWidth="1"/>
    <col min="12553" max="12553" width="16.453125" style="1" bestFit="1" customWidth="1"/>
    <col min="12554" max="12554" width="17.1796875" style="1" bestFit="1" customWidth="1"/>
    <col min="12555" max="12555" width="9.54296875" style="1" customWidth="1"/>
    <col min="12556" max="12802" width="9" style="1"/>
    <col min="12803" max="12803" width="33.1796875" style="1" customWidth="1"/>
    <col min="12804" max="12804" width="9.1796875" style="1" bestFit="1" customWidth="1"/>
    <col min="12805" max="12805" width="12.7265625" style="1" bestFit="1" customWidth="1"/>
    <col min="12806" max="12806" width="11.7265625" style="1" customWidth="1"/>
    <col min="12807" max="12807" width="29.54296875" style="1" customWidth="1"/>
    <col min="12808" max="12808" width="16.453125" style="1" customWidth="1"/>
    <col min="12809" max="12809" width="16.453125" style="1" bestFit="1" customWidth="1"/>
    <col min="12810" max="12810" width="17.1796875" style="1" bestFit="1" customWidth="1"/>
    <col min="12811" max="12811" width="9.54296875" style="1" customWidth="1"/>
    <col min="12812" max="13058" width="9" style="1"/>
    <col min="13059" max="13059" width="33.1796875" style="1" customWidth="1"/>
    <col min="13060" max="13060" width="9.1796875" style="1" bestFit="1" customWidth="1"/>
    <col min="13061" max="13061" width="12.7265625" style="1" bestFit="1" customWidth="1"/>
    <col min="13062" max="13062" width="11.7265625" style="1" customWidth="1"/>
    <col min="13063" max="13063" width="29.54296875" style="1" customWidth="1"/>
    <col min="13064" max="13064" width="16.453125" style="1" customWidth="1"/>
    <col min="13065" max="13065" width="16.453125" style="1" bestFit="1" customWidth="1"/>
    <col min="13066" max="13066" width="17.1796875" style="1" bestFit="1" customWidth="1"/>
    <col min="13067" max="13067" width="9.54296875" style="1" customWidth="1"/>
    <col min="13068" max="13314" width="9" style="1"/>
    <col min="13315" max="13315" width="33.1796875" style="1" customWidth="1"/>
    <col min="13316" max="13316" width="9.1796875" style="1" bestFit="1" customWidth="1"/>
    <col min="13317" max="13317" width="12.7265625" style="1" bestFit="1" customWidth="1"/>
    <col min="13318" max="13318" width="11.7265625" style="1" customWidth="1"/>
    <col min="13319" max="13319" width="29.54296875" style="1" customWidth="1"/>
    <col min="13320" max="13320" width="16.453125" style="1" customWidth="1"/>
    <col min="13321" max="13321" width="16.453125" style="1" bestFit="1" customWidth="1"/>
    <col min="13322" max="13322" width="17.1796875" style="1" bestFit="1" customWidth="1"/>
    <col min="13323" max="13323" width="9.54296875" style="1" customWidth="1"/>
    <col min="13324" max="13570" width="9" style="1"/>
    <col min="13571" max="13571" width="33.1796875" style="1" customWidth="1"/>
    <col min="13572" max="13572" width="9.1796875" style="1" bestFit="1" customWidth="1"/>
    <col min="13573" max="13573" width="12.7265625" style="1" bestFit="1" customWidth="1"/>
    <col min="13574" max="13574" width="11.7265625" style="1" customWidth="1"/>
    <col min="13575" max="13575" width="29.54296875" style="1" customWidth="1"/>
    <col min="13576" max="13576" width="16.453125" style="1" customWidth="1"/>
    <col min="13577" max="13577" width="16.453125" style="1" bestFit="1" customWidth="1"/>
    <col min="13578" max="13578" width="17.1796875" style="1" bestFit="1" customWidth="1"/>
    <col min="13579" max="13579" width="9.54296875" style="1" customWidth="1"/>
    <col min="13580" max="13826" width="9" style="1"/>
    <col min="13827" max="13827" width="33.1796875" style="1" customWidth="1"/>
    <col min="13828" max="13828" width="9.1796875" style="1" bestFit="1" customWidth="1"/>
    <col min="13829" max="13829" width="12.7265625" style="1" bestFit="1" customWidth="1"/>
    <col min="13830" max="13830" width="11.7265625" style="1" customWidth="1"/>
    <col min="13831" max="13831" width="29.54296875" style="1" customWidth="1"/>
    <col min="13832" max="13832" width="16.453125" style="1" customWidth="1"/>
    <col min="13833" max="13833" width="16.453125" style="1" bestFit="1" customWidth="1"/>
    <col min="13834" max="13834" width="17.1796875" style="1" bestFit="1" customWidth="1"/>
    <col min="13835" max="13835" width="9.54296875" style="1" customWidth="1"/>
    <col min="13836" max="14082" width="9" style="1"/>
    <col min="14083" max="14083" width="33.1796875" style="1" customWidth="1"/>
    <col min="14084" max="14084" width="9.1796875" style="1" bestFit="1" customWidth="1"/>
    <col min="14085" max="14085" width="12.7265625" style="1" bestFit="1" customWidth="1"/>
    <col min="14086" max="14086" width="11.7265625" style="1" customWidth="1"/>
    <col min="14087" max="14087" width="29.54296875" style="1" customWidth="1"/>
    <col min="14088" max="14088" width="16.453125" style="1" customWidth="1"/>
    <col min="14089" max="14089" width="16.453125" style="1" bestFit="1" customWidth="1"/>
    <col min="14090" max="14090" width="17.1796875" style="1" bestFit="1" customWidth="1"/>
    <col min="14091" max="14091" width="9.54296875" style="1" customWidth="1"/>
    <col min="14092" max="14338" width="9" style="1"/>
    <col min="14339" max="14339" width="33.1796875" style="1" customWidth="1"/>
    <col min="14340" max="14340" width="9.1796875" style="1" bestFit="1" customWidth="1"/>
    <col min="14341" max="14341" width="12.7265625" style="1" bestFit="1" customWidth="1"/>
    <col min="14342" max="14342" width="11.7265625" style="1" customWidth="1"/>
    <col min="14343" max="14343" width="29.54296875" style="1" customWidth="1"/>
    <col min="14344" max="14344" width="16.453125" style="1" customWidth="1"/>
    <col min="14345" max="14345" width="16.453125" style="1" bestFit="1" customWidth="1"/>
    <col min="14346" max="14346" width="17.1796875" style="1" bestFit="1" customWidth="1"/>
    <col min="14347" max="14347" width="9.54296875" style="1" customWidth="1"/>
    <col min="14348" max="14594" width="9" style="1"/>
    <col min="14595" max="14595" width="33.1796875" style="1" customWidth="1"/>
    <col min="14596" max="14596" width="9.1796875" style="1" bestFit="1" customWidth="1"/>
    <col min="14597" max="14597" width="12.7265625" style="1" bestFit="1" customWidth="1"/>
    <col min="14598" max="14598" width="11.7265625" style="1" customWidth="1"/>
    <col min="14599" max="14599" width="29.54296875" style="1" customWidth="1"/>
    <col min="14600" max="14600" width="16.453125" style="1" customWidth="1"/>
    <col min="14601" max="14601" width="16.453125" style="1" bestFit="1" customWidth="1"/>
    <col min="14602" max="14602" width="17.1796875" style="1" bestFit="1" customWidth="1"/>
    <col min="14603" max="14603" width="9.54296875" style="1" customWidth="1"/>
    <col min="14604" max="14850" width="9" style="1"/>
    <col min="14851" max="14851" width="33.1796875" style="1" customWidth="1"/>
    <col min="14852" max="14852" width="9.1796875" style="1" bestFit="1" customWidth="1"/>
    <col min="14853" max="14853" width="12.7265625" style="1" bestFit="1" customWidth="1"/>
    <col min="14854" max="14854" width="11.7265625" style="1" customWidth="1"/>
    <col min="14855" max="14855" width="29.54296875" style="1" customWidth="1"/>
    <col min="14856" max="14856" width="16.453125" style="1" customWidth="1"/>
    <col min="14857" max="14857" width="16.453125" style="1" bestFit="1" customWidth="1"/>
    <col min="14858" max="14858" width="17.1796875" style="1" bestFit="1" customWidth="1"/>
    <col min="14859" max="14859" width="9.54296875" style="1" customWidth="1"/>
    <col min="14860" max="15106" width="9" style="1"/>
    <col min="15107" max="15107" width="33.1796875" style="1" customWidth="1"/>
    <col min="15108" max="15108" width="9.1796875" style="1" bestFit="1" customWidth="1"/>
    <col min="15109" max="15109" width="12.7265625" style="1" bestFit="1" customWidth="1"/>
    <col min="15110" max="15110" width="11.7265625" style="1" customWidth="1"/>
    <col min="15111" max="15111" width="29.54296875" style="1" customWidth="1"/>
    <col min="15112" max="15112" width="16.453125" style="1" customWidth="1"/>
    <col min="15113" max="15113" width="16.453125" style="1" bestFit="1" customWidth="1"/>
    <col min="15114" max="15114" width="17.1796875" style="1" bestFit="1" customWidth="1"/>
    <col min="15115" max="15115" width="9.54296875" style="1" customWidth="1"/>
    <col min="15116" max="15362" width="9" style="1"/>
    <col min="15363" max="15363" width="33.1796875" style="1" customWidth="1"/>
    <col min="15364" max="15364" width="9.1796875" style="1" bestFit="1" customWidth="1"/>
    <col min="15365" max="15365" width="12.7265625" style="1" bestFit="1" customWidth="1"/>
    <col min="15366" max="15366" width="11.7265625" style="1" customWidth="1"/>
    <col min="15367" max="15367" width="29.54296875" style="1" customWidth="1"/>
    <col min="15368" max="15368" width="16.453125" style="1" customWidth="1"/>
    <col min="15369" max="15369" width="16.453125" style="1" bestFit="1" customWidth="1"/>
    <col min="15370" max="15370" width="17.1796875" style="1" bestFit="1" customWidth="1"/>
    <col min="15371" max="15371" width="9.54296875" style="1" customWidth="1"/>
    <col min="15372" max="15618" width="9" style="1"/>
    <col min="15619" max="15619" width="33.1796875" style="1" customWidth="1"/>
    <col min="15620" max="15620" width="9.1796875" style="1" bestFit="1" customWidth="1"/>
    <col min="15621" max="15621" width="12.7265625" style="1" bestFit="1" customWidth="1"/>
    <col min="15622" max="15622" width="11.7265625" style="1" customWidth="1"/>
    <col min="15623" max="15623" width="29.54296875" style="1" customWidth="1"/>
    <col min="15624" max="15624" width="16.453125" style="1" customWidth="1"/>
    <col min="15625" max="15625" width="16.453125" style="1" bestFit="1" customWidth="1"/>
    <col min="15626" max="15626" width="17.1796875" style="1" bestFit="1" customWidth="1"/>
    <col min="15627" max="15627" width="9.54296875" style="1" customWidth="1"/>
    <col min="15628" max="15874" width="9" style="1"/>
    <col min="15875" max="15875" width="33.1796875" style="1" customWidth="1"/>
    <col min="15876" max="15876" width="9.1796875" style="1" bestFit="1" customWidth="1"/>
    <col min="15877" max="15877" width="12.7265625" style="1" bestFit="1" customWidth="1"/>
    <col min="15878" max="15878" width="11.7265625" style="1" customWidth="1"/>
    <col min="15879" max="15879" width="29.54296875" style="1" customWidth="1"/>
    <col min="15880" max="15880" width="16.453125" style="1" customWidth="1"/>
    <col min="15881" max="15881" width="16.453125" style="1" bestFit="1" customWidth="1"/>
    <col min="15882" max="15882" width="17.1796875" style="1" bestFit="1" customWidth="1"/>
    <col min="15883" max="15883" width="9.54296875" style="1" customWidth="1"/>
    <col min="15884" max="16130" width="9" style="1"/>
    <col min="16131" max="16131" width="33.1796875" style="1" customWidth="1"/>
    <col min="16132" max="16132" width="9.1796875" style="1" bestFit="1" customWidth="1"/>
    <col min="16133" max="16133" width="12.7265625" style="1" bestFit="1" customWidth="1"/>
    <col min="16134" max="16134" width="11.7265625" style="1" customWidth="1"/>
    <col min="16135" max="16135" width="29.54296875" style="1" customWidth="1"/>
    <col min="16136" max="16136" width="16.453125" style="1" customWidth="1"/>
    <col min="16137" max="16137" width="16.453125" style="1" bestFit="1" customWidth="1"/>
    <col min="16138" max="16138" width="17.1796875" style="1" bestFit="1" customWidth="1"/>
    <col min="16139" max="16139" width="9.54296875" style="1" customWidth="1"/>
    <col min="16140" max="16384" width="9" style="1"/>
  </cols>
  <sheetData>
    <row r="2" spans="1:10" ht="15" customHeight="1" x14ac:dyDescent="0.3">
      <c r="A2" s="101" t="s">
        <v>165</v>
      </c>
      <c r="B2" s="60"/>
      <c r="C2" s="60"/>
      <c r="D2" s="60"/>
      <c r="E2" s="60"/>
      <c r="F2" s="60"/>
      <c r="G2" s="60"/>
      <c r="H2" s="60"/>
    </row>
    <row r="3" spans="1:10" ht="13" x14ac:dyDescent="0.3">
      <c r="A3" s="1" t="s">
        <v>165</v>
      </c>
      <c r="C3" s="2"/>
      <c r="D3" s="2"/>
    </row>
    <row r="4" spans="1:10" ht="13" x14ac:dyDescent="0.3">
      <c r="A4" s="3" t="s">
        <v>83</v>
      </c>
      <c r="C4" s="4"/>
      <c r="D4" s="4"/>
    </row>
    <row r="5" spans="1:10" ht="15.75" customHeight="1" x14ac:dyDescent="0.25">
      <c r="A5" s="108" t="s">
        <v>84</v>
      </c>
    </row>
    <row r="6" spans="1:10" ht="15.75" customHeight="1" x14ac:dyDescent="0.25">
      <c r="A6" s="108" t="s">
        <v>85</v>
      </c>
      <c r="B6" s="109" t="s">
        <v>89</v>
      </c>
    </row>
    <row r="7" spans="1:10" ht="15.75" customHeight="1" x14ac:dyDescent="0.25">
      <c r="A7" s="1" t="s">
        <v>86</v>
      </c>
      <c r="B7" s="113" t="s">
        <v>4</v>
      </c>
    </row>
    <row r="8" spans="1:10" ht="15.75" customHeight="1" x14ac:dyDescent="0.25">
      <c r="A8" s="1" t="s">
        <v>87</v>
      </c>
      <c r="B8" s="113">
        <v>6416</v>
      </c>
    </row>
    <row r="9" spans="1:10" ht="15.75" customHeight="1" x14ac:dyDescent="0.25">
      <c r="A9" s="1" t="s">
        <v>88</v>
      </c>
      <c r="B9" s="1" t="s">
        <v>5</v>
      </c>
    </row>
    <row r="10" spans="1:10" ht="15.75" customHeight="1" x14ac:dyDescent="0.25"/>
    <row r="11" spans="1:10" ht="15.75" customHeight="1" x14ac:dyDescent="0.25"/>
    <row r="12" spans="1:10" ht="15.75" customHeight="1" thickBot="1" x14ac:dyDescent="0.3"/>
    <row r="13" spans="1:10" s="7" customFormat="1" ht="13" thickTop="1" x14ac:dyDescent="0.25">
      <c r="A13" s="5" t="s">
        <v>90</v>
      </c>
      <c r="B13" s="6">
        <v>5997</v>
      </c>
    </row>
    <row r="14" spans="1:10" s="7" customFormat="1" x14ac:dyDescent="0.25">
      <c r="A14" s="8" t="s">
        <v>129</v>
      </c>
      <c r="B14" s="13">
        <f>'Tessa Option'!B14</f>
        <v>970</v>
      </c>
      <c r="E14" s="9"/>
    </row>
    <row r="15" spans="1:10" s="7" customFormat="1" ht="13" x14ac:dyDescent="0.3">
      <c r="A15" s="8" t="s">
        <v>92</v>
      </c>
      <c r="B15" s="13">
        <f>'Tessa Option'!B15</f>
        <v>10500</v>
      </c>
      <c r="C15" s="7">
        <f>144*2+36*1</f>
        <v>324</v>
      </c>
      <c r="E15" s="9" t="s">
        <v>97</v>
      </c>
      <c r="F15" s="10" t="s">
        <v>171</v>
      </c>
      <c r="I15" s="11"/>
      <c r="J15" s="11"/>
    </row>
    <row r="16" spans="1:10" s="7" customFormat="1" ht="20.5" x14ac:dyDescent="0.25">
      <c r="A16" s="8" t="s">
        <v>91</v>
      </c>
      <c r="B16" s="13">
        <f>'Tessa Option'!B16</f>
        <v>25576</v>
      </c>
      <c r="C16" s="7">
        <f>B16/B84</f>
        <v>142.0888888888889</v>
      </c>
      <c r="E16" s="110" t="s">
        <v>222</v>
      </c>
      <c r="F16" s="7">
        <f>110*180</f>
        <v>19800</v>
      </c>
    </row>
    <row r="17" spans="1:7" s="7" customFormat="1" x14ac:dyDescent="0.25">
      <c r="A17" s="8" t="s">
        <v>93</v>
      </c>
      <c r="B17" s="13">
        <f>'Tessa Option'!B17</f>
        <v>3024</v>
      </c>
      <c r="C17" s="7">
        <f>B17/B84</f>
        <v>16.8</v>
      </c>
      <c r="G17" s="11"/>
    </row>
    <row r="18" spans="1:7" s="7" customFormat="1" x14ac:dyDescent="0.25">
      <c r="A18" s="8" t="s">
        <v>220</v>
      </c>
      <c r="B18" s="13">
        <f>'Tessa Option'!B18</f>
        <v>0</v>
      </c>
    </row>
    <row r="19" spans="1:7" s="7" customFormat="1" x14ac:dyDescent="0.25">
      <c r="A19" s="8" t="s">
        <v>221</v>
      </c>
      <c r="B19" s="13">
        <f>'Tessa Option'!B19</f>
        <v>900</v>
      </c>
    </row>
    <row r="20" spans="1:7" s="7" customFormat="1" x14ac:dyDescent="0.25">
      <c r="A20" s="8" t="s">
        <v>95</v>
      </c>
      <c r="B20" s="13">
        <f>'Tessa Option'!B20</f>
        <v>1500</v>
      </c>
    </row>
    <row r="21" spans="1:7" s="7" customFormat="1" x14ac:dyDescent="0.25">
      <c r="A21" s="14"/>
      <c r="B21" s="14"/>
    </row>
    <row r="22" spans="1:7" s="7" customFormat="1" x14ac:dyDescent="0.25"/>
    <row r="23" spans="1:7" s="15" customFormat="1" x14ac:dyDescent="0.25"/>
    <row r="24" spans="1:7" s="15" customFormat="1" ht="13" x14ac:dyDescent="0.3">
      <c r="A24" s="3" t="s">
        <v>96</v>
      </c>
    </row>
    <row r="25" spans="1:7" s="15" customFormat="1" ht="13.5" thickBot="1" x14ac:dyDescent="0.35">
      <c r="A25" s="3"/>
    </row>
    <row r="26" spans="1:7" s="19" customFormat="1" ht="13.5" thickTop="1" x14ac:dyDescent="0.3">
      <c r="A26" s="16" t="s">
        <v>123</v>
      </c>
      <c r="B26" s="17" t="s">
        <v>98</v>
      </c>
      <c r="C26" s="18" t="s">
        <v>99</v>
      </c>
      <c r="D26" s="87"/>
    </row>
    <row r="27" spans="1:7" s="15" customFormat="1" x14ac:dyDescent="0.25">
      <c r="A27" s="20" t="s">
        <v>105</v>
      </c>
      <c r="B27" s="21" t="s">
        <v>100</v>
      </c>
      <c r="C27" s="13">
        <v>105556</v>
      </c>
      <c r="D27" s="14"/>
    </row>
    <row r="28" spans="1:7" s="15" customFormat="1" x14ac:dyDescent="0.25">
      <c r="A28" s="20" t="s">
        <v>106</v>
      </c>
      <c r="B28" s="21" t="s">
        <v>100</v>
      </c>
      <c r="C28" s="13">
        <v>300000</v>
      </c>
      <c r="D28" s="14"/>
    </row>
    <row r="29" spans="1:7" s="15" customFormat="1" x14ac:dyDescent="0.25">
      <c r="A29" s="20" t="s">
        <v>107</v>
      </c>
      <c r="B29" s="21" t="s">
        <v>101</v>
      </c>
      <c r="C29" s="13">
        <v>0</v>
      </c>
      <c r="D29" s="14"/>
    </row>
    <row r="30" spans="1:7" s="7" customFormat="1" x14ac:dyDescent="0.25">
      <c r="A30" s="8" t="s">
        <v>109</v>
      </c>
      <c r="B30" s="25" t="s">
        <v>101</v>
      </c>
      <c r="C30" s="26">
        <v>0.05</v>
      </c>
      <c r="D30" s="88"/>
    </row>
    <row r="31" spans="1:7" s="7" customFormat="1" ht="25" x14ac:dyDescent="0.25">
      <c r="A31" s="124" t="s">
        <v>110</v>
      </c>
      <c r="B31" s="23" t="s">
        <v>102</v>
      </c>
      <c r="C31" s="26">
        <v>0.02</v>
      </c>
      <c r="D31" s="88"/>
    </row>
    <row r="32" spans="1:7" s="15" customFormat="1" x14ac:dyDescent="0.25">
      <c r="A32" s="20" t="s">
        <v>113</v>
      </c>
      <c r="B32" s="23" t="s">
        <v>103</v>
      </c>
      <c r="C32" s="13">
        <v>2800</v>
      </c>
      <c r="D32" s="14"/>
    </row>
    <row r="33" spans="1:10" s="15" customFormat="1" x14ac:dyDescent="0.25">
      <c r="A33" s="20" t="s">
        <v>223</v>
      </c>
      <c r="B33" s="23" t="s">
        <v>103</v>
      </c>
      <c r="C33" s="13">
        <v>4800</v>
      </c>
      <c r="D33" s="14"/>
    </row>
    <row r="34" spans="1:10" s="15" customFormat="1" x14ac:dyDescent="0.25">
      <c r="A34" s="20" t="s">
        <v>111</v>
      </c>
      <c r="B34" s="23" t="s">
        <v>103</v>
      </c>
      <c r="C34" s="13">
        <v>2500</v>
      </c>
      <c r="D34" s="14"/>
    </row>
    <row r="35" spans="1:10" s="15" customFormat="1" x14ac:dyDescent="0.25">
      <c r="A35" s="20" t="s">
        <v>115</v>
      </c>
      <c r="B35" s="23" t="s">
        <v>103</v>
      </c>
      <c r="C35" s="13">
        <v>1500</v>
      </c>
      <c r="D35" s="14"/>
    </row>
    <row r="36" spans="1:10" s="15" customFormat="1" x14ac:dyDescent="0.25">
      <c r="A36" s="20" t="s">
        <v>116</v>
      </c>
      <c r="B36" s="23" t="s">
        <v>100</v>
      </c>
      <c r="C36" s="13">
        <v>3500</v>
      </c>
      <c r="D36" s="14"/>
    </row>
    <row r="37" spans="1:10" s="15" customFormat="1" x14ac:dyDescent="0.25">
      <c r="A37" s="20" t="s">
        <v>117</v>
      </c>
      <c r="B37" s="23" t="s">
        <v>100</v>
      </c>
      <c r="C37" s="13">
        <v>20000</v>
      </c>
      <c r="D37" s="14"/>
    </row>
    <row r="38" spans="1:10" s="15" customFormat="1" ht="25" x14ac:dyDescent="0.25">
      <c r="A38" s="20" t="s">
        <v>118</v>
      </c>
      <c r="B38" s="111" t="s">
        <v>104</v>
      </c>
      <c r="C38" s="30">
        <v>0.03</v>
      </c>
      <c r="D38" s="89"/>
    </row>
    <row r="39" spans="1:10" s="15" customFormat="1" ht="25" x14ac:dyDescent="0.25">
      <c r="A39" s="127" t="s">
        <v>119</v>
      </c>
      <c r="B39" s="23" t="s">
        <v>102</v>
      </c>
      <c r="C39" s="30">
        <v>0.01</v>
      </c>
      <c r="D39" s="89"/>
    </row>
    <row r="40" spans="1:10" s="15" customFormat="1" x14ac:dyDescent="0.25">
      <c r="A40" s="20" t="s">
        <v>120</v>
      </c>
      <c r="B40" s="23" t="s">
        <v>102</v>
      </c>
      <c r="C40" s="30">
        <v>0.06</v>
      </c>
      <c r="D40" s="89"/>
    </row>
    <row r="41" spans="1:10" s="15" customFormat="1" x14ac:dyDescent="0.25">
      <c r="A41" s="20" t="s">
        <v>121</v>
      </c>
      <c r="B41" s="23" t="s">
        <v>102</v>
      </c>
      <c r="C41" s="30">
        <v>2.5000000000000001E-2</v>
      </c>
      <c r="D41" s="89"/>
    </row>
    <row r="42" spans="1:10" s="15" customFormat="1" ht="25" x14ac:dyDescent="0.25">
      <c r="A42" s="128" t="s">
        <v>122</v>
      </c>
      <c r="B42" s="33" t="s">
        <v>103</v>
      </c>
      <c r="C42" s="13">
        <v>500</v>
      </c>
      <c r="D42" s="14"/>
    </row>
    <row r="43" spans="1:10" s="15" customFormat="1" ht="13" thickBot="1" x14ac:dyDescent="0.3">
      <c r="A43" s="34" t="s">
        <v>124</v>
      </c>
      <c r="B43" s="35" t="s">
        <v>102</v>
      </c>
      <c r="C43" s="62">
        <v>0.05</v>
      </c>
      <c r="D43" s="88"/>
    </row>
    <row r="44" spans="1:10" s="15" customFormat="1" ht="13.5" thickTop="1" x14ac:dyDescent="0.3">
      <c r="A44" s="37"/>
      <c r="B44" s="37"/>
      <c r="C44" s="37"/>
      <c r="D44" s="37"/>
      <c r="J44" s="40"/>
    </row>
    <row r="45" spans="1:10" s="15" customFormat="1" ht="13" x14ac:dyDescent="0.3">
      <c r="A45" s="3"/>
      <c r="B45" s="3"/>
      <c r="C45" s="3"/>
      <c r="D45" s="3"/>
    </row>
    <row r="46" spans="1:10" s="15" customFormat="1" ht="13" x14ac:dyDescent="0.3">
      <c r="A46" s="3" t="s">
        <v>125</v>
      </c>
      <c r="H46" s="41"/>
    </row>
    <row r="47" spans="1:10" s="15" customFormat="1" ht="13.5" thickBot="1" x14ac:dyDescent="0.35">
      <c r="A47" s="3"/>
      <c r="H47" s="41"/>
    </row>
    <row r="48" spans="1:10" s="15" customFormat="1" ht="13.5" thickTop="1" x14ac:dyDescent="0.3">
      <c r="A48" s="16" t="s">
        <v>123</v>
      </c>
      <c r="B48" s="17" t="s">
        <v>98</v>
      </c>
      <c r="C48" s="17" t="s">
        <v>127</v>
      </c>
      <c r="D48" s="90" t="s">
        <v>128</v>
      </c>
      <c r="E48" s="46" t="s">
        <v>126</v>
      </c>
      <c r="F48" s="3"/>
      <c r="H48" s="41"/>
    </row>
    <row r="49" spans="1:8" s="15" customFormat="1" x14ac:dyDescent="0.25">
      <c r="A49" s="22" t="str">
        <f>+A27</f>
        <v>Development levies and building fees</v>
      </c>
      <c r="B49" s="23" t="str">
        <f>+B27</f>
        <v>Residential unit</v>
      </c>
      <c r="C49" s="23">
        <f>B15+B16+B17+B19</f>
        <v>40000</v>
      </c>
      <c r="D49" s="91">
        <v>410</v>
      </c>
      <c r="E49" s="13">
        <f>C49*D49</f>
        <v>16400000</v>
      </c>
      <c r="F49" s="24"/>
      <c r="H49" s="41"/>
    </row>
    <row r="50" spans="1:8" s="15" customFormat="1" ht="25" x14ac:dyDescent="0.25">
      <c r="A50" s="127" t="s">
        <v>136</v>
      </c>
      <c r="B50" s="23" t="str">
        <f>+B28</f>
        <v>Residential unit</v>
      </c>
      <c r="C50" s="23">
        <f>B84</f>
        <v>180</v>
      </c>
      <c r="D50" s="91"/>
      <c r="E50" s="13">
        <f>C28</f>
        <v>300000</v>
      </c>
      <c r="H50" s="41"/>
    </row>
    <row r="51" spans="1:8" s="15" customFormat="1" x14ac:dyDescent="0.25">
      <c r="A51" s="20" t="s">
        <v>108</v>
      </c>
      <c r="B51" s="25" t="str">
        <f>+B30</f>
        <v>Entire project</v>
      </c>
      <c r="C51" s="27">
        <f>C30</f>
        <v>0.05</v>
      </c>
      <c r="D51" s="92"/>
      <c r="E51" s="13">
        <f>'Tessa Option'!E51</f>
        <v>5400000</v>
      </c>
      <c r="F51" s="28"/>
      <c r="H51" s="41"/>
    </row>
    <row r="52" spans="1:8" s="15" customFormat="1" ht="25" x14ac:dyDescent="0.25">
      <c r="A52" s="127" t="s">
        <v>135</v>
      </c>
      <c r="B52" s="25"/>
      <c r="C52" s="27"/>
      <c r="D52" s="92"/>
      <c r="E52" s="13">
        <v>8800000</v>
      </c>
      <c r="H52" s="41"/>
    </row>
    <row r="53" spans="1:8" s="15" customFormat="1" ht="25" x14ac:dyDescent="0.25">
      <c r="A53" s="127" t="str">
        <f>+A31</f>
        <v>Entrepreneurship fees / project overhead</v>
      </c>
      <c r="B53" s="25" t="str">
        <f>+B31</f>
        <v>Percent</v>
      </c>
      <c r="C53" s="30">
        <v>0.03</v>
      </c>
      <c r="D53" s="30"/>
      <c r="E53" s="13">
        <f>'Tessa Option'!E53</f>
        <v>6000000</v>
      </c>
      <c r="F53" s="74"/>
      <c r="H53" s="41"/>
    </row>
    <row r="54" spans="1:8" s="15" customFormat="1" x14ac:dyDescent="0.25">
      <c r="A54" s="20" t="s">
        <v>113</v>
      </c>
      <c r="B54" s="23" t="s">
        <v>103</v>
      </c>
      <c r="C54" s="23">
        <f>B15</f>
        <v>10500</v>
      </c>
      <c r="D54" s="91"/>
      <c r="E54" s="13">
        <f>+C54*C32</f>
        <v>29400000</v>
      </c>
      <c r="F54" s="15" t="s">
        <v>151</v>
      </c>
      <c r="H54" s="41"/>
    </row>
    <row r="55" spans="1:8" s="15" customFormat="1" x14ac:dyDescent="0.25">
      <c r="A55" s="20" t="s">
        <v>223</v>
      </c>
      <c r="B55" s="23" t="s">
        <v>103</v>
      </c>
      <c r="C55" s="23">
        <f>B16</f>
        <v>25576</v>
      </c>
      <c r="D55" s="91"/>
      <c r="E55" s="13">
        <f>+C55*C33</f>
        <v>122764800</v>
      </c>
      <c r="F55" s="7">
        <f>E54+E55+E56+E57+E58+E59</f>
        <v>162574800</v>
      </c>
      <c r="H55" s="41"/>
    </row>
    <row r="56" spans="1:8" s="15" customFormat="1" x14ac:dyDescent="0.25">
      <c r="A56" s="20" t="s">
        <v>111</v>
      </c>
      <c r="B56" s="23" t="s">
        <v>103</v>
      </c>
      <c r="C56" s="23">
        <f>B17+B18</f>
        <v>3024</v>
      </c>
      <c r="D56" s="91"/>
      <c r="E56" s="13">
        <f>+C56*C34</f>
        <v>7560000</v>
      </c>
      <c r="F56" s="29"/>
      <c r="H56" s="41"/>
    </row>
    <row r="57" spans="1:8" s="15" customFormat="1" x14ac:dyDescent="0.25">
      <c r="A57" s="20" t="s">
        <v>134</v>
      </c>
      <c r="B57" s="23" t="s">
        <v>103</v>
      </c>
      <c r="C57" s="23">
        <f>B19</f>
        <v>900</v>
      </c>
      <c r="D57" s="91"/>
      <c r="E57" s="13">
        <f>+C57*C35</f>
        <v>1350000</v>
      </c>
      <c r="F57" s="15">
        <f>F55/180</f>
        <v>903193.33333333337</v>
      </c>
      <c r="H57" s="41"/>
    </row>
    <row r="58" spans="1:8" s="15" customFormat="1" x14ac:dyDescent="0.25">
      <c r="A58" s="20" t="s">
        <v>133</v>
      </c>
      <c r="B58" s="23"/>
      <c r="C58" s="23"/>
      <c r="D58" s="91"/>
      <c r="E58" s="13">
        <v>1000000</v>
      </c>
      <c r="H58" s="41"/>
    </row>
    <row r="59" spans="1:8" s="15" customFormat="1" x14ac:dyDescent="0.25">
      <c r="A59" s="20" t="s">
        <v>132</v>
      </c>
      <c r="B59" s="23"/>
      <c r="C59" s="23">
        <f>B14</f>
        <v>970</v>
      </c>
      <c r="D59" s="91"/>
      <c r="E59" s="13">
        <v>500000</v>
      </c>
      <c r="H59" s="41"/>
    </row>
    <row r="60" spans="1:8" s="15" customFormat="1" x14ac:dyDescent="0.25">
      <c r="A60" s="20" t="s">
        <v>116</v>
      </c>
      <c r="B60" s="23" t="s">
        <v>103</v>
      </c>
      <c r="C60" s="23">
        <v>180</v>
      </c>
      <c r="D60" s="91"/>
      <c r="E60" s="13">
        <f>+C60*C36</f>
        <v>630000</v>
      </c>
      <c r="H60" s="41"/>
    </row>
    <row r="61" spans="1:8" s="15" customFormat="1" x14ac:dyDescent="0.25">
      <c r="A61" s="20" t="s">
        <v>117</v>
      </c>
      <c r="B61" s="23" t="s">
        <v>103</v>
      </c>
      <c r="C61" s="23">
        <v>180</v>
      </c>
      <c r="D61" s="91"/>
      <c r="E61" s="13">
        <f>+C61*C37</f>
        <v>3600000</v>
      </c>
      <c r="H61" s="41"/>
    </row>
    <row r="62" spans="1:8" s="15" customFormat="1" ht="25" x14ac:dyDescent="0.25">
      <c r="A62" s="20" t="s">
        <v>118</v>
      </c>
      <c r="B62" s="111" t="str">
        <f>+B38</f>
        <v>Percent of direct construction cost</v>
      </c>
      <c r="C62" s="31">
        <f>C38</f>
        <v>0.03</v>
      </c>
      <c r="D62" s="93"/>
      <c r="E62" s="13">
        <f>C62*F55</f>
        <v>4877244</v>
      </c>
      <c r="H62" s="41"/>
    </row>
    <row r="63" spans="1:8" s="15" customFormat="1" ht="25" x14ac:dyDescent="0.25">
      <c r="A63" s="127" t="str">
        <f>A39</f>
        <v>Guarantees for residents and property owners</v>
      </c>
      <c r="B63" s="23" t="str">
        <f>B39</f>
        <v>Percent</v>
      </c>
      <c r="C63" s="31">
        <f>C39</f>
        <v>0.01</v>
      </c>
      <c r="D63" s="93"/>
      <c r="E63" s="13">
        <f>'Tessa Option'!E63</f>
        <v>17466731.53846154</v>
      </c>
      <c r="H63" s="41"/>
    </row>
    <row r="64" spans="1:8" s="15" customFormat="1" x14ac:dyDescent="0.25">
      <c r="A64" s="20" t="str">
        <f>A40</f>
        <v>Financing</v>
      </c>
      <c r="B64" s="23" t="s">
        <v>103</v>
      </c>
      <c r="C64" s="31">
        <f>C40</f>
        <v>0.06</v>
      </c>
      <c r="D64" s="93"/>
      <c r="E64" s="13">
        <v>2500000</v>
      </c>
      <c r="H64" s="41"/>
    </row>
    <row r="65" spans="1:8" s="15" customFormat="1" x14ac:dyDescent="0.25">
      <c r="A65" s="20" t="s">
        <v>131</v>
      </c>
      <c r="B65" s="23" t="str">
        <f>B41</f>
        <v>Percent</v>
      </c>
      <c r="C65" s="31">
        <v>0.02</v>
      </c>
      <c r="D65" s="93"/>
      <c r="E65" s="13">
        <f>C65*E86*1.17</f>
        <v>8888443.2000000011</v>
      </c>
      <c r="H65" s="41"/>
    </row>
    <row r="66" spans="1:8" s="15" customFormat="1" x14ac:dyDescent="0.25">
      <c r="A66" s="20" t="str">
        <f>+++A41</f>
        <v>Marketing and advertising</v>
      </c>
      <c r="B66" s="23" t="str">
        <f>B41</f>
        <v>Percent</v>
      </c>
      <c r="C66" s="31">
        <f>C41</f>
        <v>2.5000000000000001E-2</v>
      </c>
      <c r="D66" s="93"/>
      <c r="E66" s="13">
        <f>C66*E86</f>
        <v>9496200.0000000019</v>
      </c>
      <c r="H66" s="41"/>
    </row>
    <row r="67" spans="1:8" s="15" customFormat="1" x14ac:dyDescent="0.25">
      <c r="A67" s="20" t="str">
        <f>+A43</f>
        <v xml:space="preserve"> unforeseen items</v>
      </c>
      <c r="B67" s="23" t="str">
        <f>B43</f>
        <v>Percent</v>
      </c>
      <c r="C67" s="31">
        <f>C43</f>
        <v>0.05</v>
      </c>
      <c r="D67" s="93"/>
      <c r="E67" s="13">
        <f>C67*F55</f>
        <v>8128740</v>
      </c>
      <c r="F67" s="36"/>
      <c r="H67" s="41"/>
    </row>
    <row r="68" spans="1:8" s="15" customFormat="1" ht="13.5" thickBot="1" x14ac:dyDescent="0.35">
      <c r="A68" s="38" t="s">
        <v>130</v>
      </c>
      <c r="B68" s="35"/>
      <c r="C68" s="35"/>
      <c r="D68" s="94"/>
      <c r="E68" s="39">
        <f>SUM(E49:E67)</f>
        <v>255062158.73846152</v>
      </c>
      <c r="F68" s="40"/>
      <c r="H68" s="41"/>
    </row>
    <row r="69" spans="1:8" s="15" customFormat="1" ht="13.5" thickTop="1" x14ac:dyDescent="0.3">
      <c r="A69" s="3"/>
      <c r="B69" s="3"/>
      <c r="C69" s="3"/>
      <c r="D69" s="3"/>
      <c r="H69" s="41"/>
    </row>
    <row r="70" spans="1:8" s="15" customFormat="1" ht="13" x14ac:dyDescent="0.3">
      <c r="A70" s="3"/>
      <c r="B70" s="3"/>
      <c r="C70" s="3"/>
      <c r="D70" s="3"/>
      <c r="H70" s="41"/>
    </row>
    <row r="71" spans="1:8" s="15" customFormat="1" ht="13" x14ac:dyDescent="0.3">
      <c r="A71" s="3"/>
      <c r="B71" s="3"/>
      <c r="C71" s="3"/>
      <c r="D71" s="3"/>
      <c r="H71" s="41"/>
    </row>
    <row r="72" spans="1:8" s="15" customFormat="1" ht="13" x14ac:dyDescent="0.3">
      <c r="A72" s="3" t="s">
        <v>137</v>
      </c>
      <c r="B72" s="1"/>
      <c r="C72" s="1"/>
      <c r="D72" s="1"/>
      <c r="E72" s="1"/>
      <c r="H72" s="42"/>
    </row>
    <row r="73" spans="1:8" s="15" customFormat="1" x14ac:dyDescent="0.25">
      <c r="A73" s="1"/>
      <c r="B73" s="1"/>
      <c r="C73" s="1"/>
      <c r="D73" s="1"/>
      <c r="E73" s="1"/>
      <c r="H73" s="41"/>
    </row>
    <row r="74" spans="1:8" s="15" customFormat="1" ht="13" thickBot="1" x14ac:dyDescent="0.3">
      <c r="A74" s="1"/>
      <c r="B74" s="1"/>
      <c r="C74" s="1"/>
      <c r="D74" s="1"/>
      <c r="E74" s="1"/>
      <c r="H74" s="44"/>
    </row>
    <row r="75" spans="1:8" s="15" customFormat="1" ht="26.5" thickTop="1" x14ac:dyDescent="0.3">
      <c r="A75" s="16" t="s">
        <v>138</v>
      </c>
      <c r="B75" s="17" t="s">
        <v>183</v>
      </c>
      <c r="C75" s="45" t="s">
        <v>148</v>
      </c>
      <c r="D75" s="45" t="s">
        <v>149</v>
      </c>
      <c r="E75" s="46" t="s">
        <v>150</v>
      </c>
      <c r="F75" s="112" t="s">
        <v>152</v>
      </c>
      <c r="H75" s="47"/>
    </row>
    <row r="76" spans="1:8" s="15" customFormat="1" ht="13" x14ac:dyDescent="0.3">
      <c r="A76" s="48" t="s">
        <v>139</v>
      </c>
      <c r="B76" s="65">
        <f>'Tessa Option'!B76</f>
        <v>9</v>
      </c>
      <c r="C76" s="66">
        <f>'Tessa Option'!C76</f>
        <v>5814000</v>
      </c>
      <c r="D76" s="66">
        <f t="shared" ref="D76:D83" si="0">C76*B76</f>
        <v>52326000</v>
      </c>
      <c r="E76" s="67">
        <f>B76*C76/1.17</f>
        <v>44723076.923076928</v>
      </c>
      <c r="F76" s="36">
        <f>80*B76</f>
        <v>720</v>
      </c>
      <c r="H76" s="47"/>
    </row>
    <row r="77" spans="1:8" s="15" customFormat="1" ht="13" x14ac:dyDescent="0.3">
      <c r="A77" s="48" t="s">
        <v>140</v>
      </c>
      <c r="B77" s="65">
        <f>'Tessa Option'!B77</f>
        <v>36</v>
      </c>
      <c r="C77" s="66">
        <f>'Tessa Option'!C77</f>
        <v>3268000</v>
      </c>
      <c r="D77" s="66">
        <f t="shared" si="0"/>
        <v>117648000</v>
      </c>
      <c r="E77" s="67">
        <f t="shared" ref="E77:E83" si="1">B77*C77/1.17</f>
        <v>100553846.15384616</v>
      </c>
      <c r="F77" s="36"/>
      <c r="H77" s="47"/>
    </row>
    <row r="78" spans="1:8" s="15" customFormat="1" ht="13" x14ac:dyDescent="0.3">
      <c r="A78" s="48" t="s">
        <v>141</v>
      </c>
      <c r="B78" s="65">
        <f>'Tessa Option'!B78</f>
        <v>36</v>
      </c>
      <c r="C78" s="66">
        <f>'Tessa Option'!C78</f>
        <v>4256000</v>
      </c>
      <c r="D78" s="66">
        <f t="shared" si="0"/>
        <v>153216000</v>
      </c>
      <c r="E78" s="67">
        <f t="shared" si="1"/>
        <v>130953846.15384616</v>
      </c>
      <c r="F78" s="36"/>
      <c r="H78" s="47"/>
    </row>
    <row r="79" spans="1:8" s="15" customFormat="1" ht="13" x14ac:dyDescent="0.3">
      <c r="A79" s="48" t="s">
        <v>142</v>
      </c>
      <c r="B79" s="65">
        <f>'Tessa Option'!B79</f>
        <v>9</v>
      </c>
      <c r="C79" s="66">
        <f>'Tessa Option'!C79</f>
        <v>4636000</v>
      </c>
      <c r="D79" s="66">
        <f t="shared" si="0"/>
        <v>41724000</v>
      </c>
      <c r="E79" s="67">
        <f t="shared" si="1"/>
        <v>35661538.461538464</v>
      </c>
      <c r="F79" s="36"/>
      <c r="H79" s="47"/>
    </row>
    <row r="80" spans="1:8" s="15" customFormat="1" ht="13" x14ac:dyDescent="0.3">
      <c r="A80" s="48" t="s">
        <v>143</v>
      </c>
      <c r="B80" s="65">
        <f>'Tessa Option'!B80</f>
        <v>45</v>
      </c>
      <c r="C80" s="66">
        <f>'Tessa Option'!C80</f>
        <v>4674000</v>
      </c>
      <c r="D80" s="66">
        <f t="shared" si="0"/>
        <v>210330000</v>
      </c>
      <c r="E80" s="67">
        <f t="shared" si="1"/>
        <v>179769230.76923078</v>
      </c>
      <c r="F80" s="36"/>
      <c r="H80" s="47"/>
    </row>
    <row r="81" spans="1:10" s="15" customFormat="1" ht="13" x14ac:dyDescent="0.3">
      <c r="A81" s="48" t="s">
        <v>144</v>
      </c>
      <c r="B81" s="65">
        <f>'Tessa Option'!B81</f>
        <v>18</v>
      </c>
      <c r="C81" s="66">
        <f>'Tessa Option'!C81</f>
        <v>5643000</v>
      </c>
      <c r="D81" s="66">
        <f t="shared" si="0"/>
        <v>101574000</v>
      </c>
      <c r="E81" s="67">
        <f t="shared" si="1"/>
        <v>86815384.615384623</v>
      </c>
      <c r="F81" s="36"/>
      <c r="H81" s="47"/>
    </row>
    <row r="82" spans="1:10" s="15" customFormat="1" ht="13" x14ac:dyDescent="0.3">
      <c r="A82" s="48" t="s">
        <v>145</v>
      </c>
      <c r="B82" s="65">
        <f>'Tessa Option'!B82</f>
        <v>18</v>
      </c>
      <c r="C82" s="66">
        <f>'Tessa Option'!C82</f>
        <v>6023000</v>
      </c>
      <c r="D82" s="66">
        <f t="shared" si="0"/>
        <v>108414000</v>
      </c>
      <c r="E82" s="67">
        <f t="shared" si="1"/>
        <v>92661538.461538464</v>
      </c>
      <c r="F82" s="36"/>
      <c r="H82" s="47"/>
    </row>
    <row r="83" spans="1:10" s="15" customFormat="1" ht="13" x14ac:dyDescent="0.3">
      <c r="A83" s="48" t="s">
        <v>146</v>
      </c>
      <c r="B83" s="65">
        <f>'Tessa Option'!B83</f>
        <v>9</v>
      </c>
      <c r="C83" s="66">
        <f>'Tessa Option'!C83</f>
        <v>7714000</v>
      </c>
      <c r="D83" s="66">
        <f t="shared" si="0"/>
        <v>69426000</v>
      </c>
      <c r="E83" s="67">
        <f t="shared" si="1"/>
        <v>59338461.538461544</v>
      </c>
      <c r="F83" s="36"/>
      <c r="H83" s="47"/>
    </row>
    <row r="84" spans="1:10" s="15" customFormat="1" ht="13" x14ac:dyDescent="0.3">
      <c r="A84" s="49" t="s">
        <v>147</v>
      </c>
      <c r="B84" s="68">
        <f>SUM(B76:B83)</f>
        <v>180</v>
      </c>
      <c r="C84" s="68"/>
      <c r="D84" s="95"/>
      <c r="E84" s="69">
        <f>SUM(E76:E83)</f>
        <v>730476923.07692313</v>
      </c>
      <c r="F84" s="50">
        <f>E84/B84*1.16</f>
        <v>4707517.948717949</v>
      </c>
      <c r="I84" s="40"/>
      <c r="J84" s="51"/>
    </row>
    <row r="85" spans="1:10" s="15" customFormat="1" ht="13" x14ac:dyDescent="0.3">
      <c r="A85" s="8" t="s">
        <v>181</v>
      </c>
      <c r="B85" s="70">
        <f>B84*C85</f>
        <v>86.399999999999991</v>
      </c>
      <c r="C85" s="104">
        <v>0.48</v>
      </c>
      <c r="D85" s="105"/>
      <c r="E85" s="13">
        <f>E84/B84*B85</f>
        <v>350628923.07692307</v>
      </c>
      <c r="F85" s="7"/>
      <c r="G85" s="7"/>
      <c r="H85" s="7"/>
      <c r="I85" s="7"/>
    </row>
    <row r="86" spans="1:10" s="15" customFormat="1" ht="13.5" thickBot="1" x14ac:dyDescent="0.35">
      <c r="A86" s="52" t="s">
        <v>180</v>
      </c>
      <c r="B86" s="53">
        <f>B84-B85</f>
        <v>93.600000000000009</v>
      </c>
      <c r="C86" s="54"/>
      <c r="D86" s="96"/>
      <c r="E86" s="55">
        <f>+E84-E85</f>
        <v>379848000.00000006</v>
      </c>
      <c r="F86" s="7"/>
      <c r="G86" s="7"/>
      <c r="H86" s="7"/>
      <c r="I86" s="7"/>
      <c r="J86" s="51"/>
    </row>
    <row r="87" spans="1:10" s="15" customFormat="1" ht="26" thickTop="1" x14ac:dyDescent="0.3">
      <c r="C87" s="7"/>
      <c r="D87" s="7"/>
      <c r="E87" s="7"/>
      <c r="F87" s="7"/>
      <c r="G87" s="7">
        <v>261820000</v>
      </c>
      <c r="H87" s="133" t="s">
        <v>161</v>
      </c>
      <c r="I87" s="7"/>
      <c r="J87" s="51"/>
    </row>
    <row r="88" spans="1:10" s="15" customFormat="1" ht="25.5" x14ac:dyDescent="0.3">
      <c r="C88" s="129" t="s">
        <v>153</v>
      </c>
      <c r="D88" s="106"/>
      <c r="E88" s="7">
        <f>E86-E68</f>
        <v>124785841.26153854</v>
      </c>
      <c r="F88" s="7"/>
      <c r="G88" s="7">
        <f>E86-G87</f>
        <v>118028000.00000006</v>
      </c>
      <c r="H88" s="9" t="s">
        <v>162</v>
      </c>
      <c r="I88" s="7"/>
      <c r="J88" s="51"/>
    </row>
    <row r="89" spans="1:10" s="15" customFormat="1" ht="25.5" x14ac:dyDescent="0.3">
      <c r="B89" s="47"/>
      <c r="C89" s="130" t="s">
        <v>154</v>
      </c>
      <c r="D89" s="107"/>
      <c r="E89" s="7">
        <f>E68*0.15</f>
        <v>38259323.81076923</v>
      </c>
      <c r="F89" s="7"/>
      <c r="G89" s="7">
        <f>G88*1/3</f>
        <v>39342666.666666687</v>
      </c>
      <c r="H89" s="134" t="s">
        <v>163</v>
      </c>
      <c r="I89" s="7"/>
      <c r="J89" s="51"/>
    </row>
    <row r="90" spans="1:10" s="15" customFormat="1" ht="25" x14ac:dyDescent="0.25">
      <c r="C90" s="130" t="s">
        <v>155</v>
      </c>
      <c r="D90" s="107"/>
      <c r="E90" s="7">
        <f>G89</f>
        <v>39342666.666666687</v>
      </c>
      <c r="F90" s="7"/>
      <c r="G90" s="7"/>
      <c r="H90" s="9"/>
      <c r="I90" s="7"/>
    </row>
    <row r="91" spans="1:10" s="15" customFormat="1" ht="13" x14ac:dyDescent="0.3">
      <c r="C91" s="107"/>
      <c r="D91" s="107"/>
      <c r="E91" s="107"/>
      <c r="F91" s="7"/>
      <c r="G91" s="7"/>
      <c r="H91" s="10"/>
      <c r="I91" s="7"/>
    </row>
    <row r="92" spans="1:10" s="15" customFormat="1" ht="39" x14ac:dyDescent="0.3">
      <c r="C92" s="131" t="s">
        <v>156</v>
      </c>
      <c r="D92" s="76"/>
      <c r="E92" s="40">
        <f>E88-E90</f>
        <v>85443174.594871849</v>
      </c>
      <c r="G92" s="132" t="s">
        <v>159</v>
      </c>
    </row>
    <row r="93" spans="1:10" s="15" customFormat="1" x14ac:dyDescent="0.25">
      <c r="G93" s="15" t="s">
        <v>106</v>
      </c>
      <c r="H93" s="15">
        <v>15000000</v>
      </c>
    </row>
    <row r="94" spans="1:10" s="15" customFormat="1" ht="25" x14ac:dyDescent="0.25">
      <c r="B94" s="29"/>
      <c r="G94" s="125" t="s">
        <v>160</v>
      </c>
      <c r="H94" s="29">
        <f>E84*0.02</f>
        <v>14609538.461538464</v>
      </c>
    </row>
    <row r="95" spans="1:10" s="15" customFormat="1" ht="13.5" thickBot="1" x14ac:dyDescent="0.35">
      <c r="A95" s="71" t="s">
        <v>158</v>
      </c>
      <c r="B95" s="71" t="s">
        <v>157</v>
      </c>
      <c r="C95" s="51"/>
      <c r="D95" s="51"/>
      <c r="E95" s="51"/>
      <c r="G95" s="40" t="s">
        <v>164</v>
      </c>
      <c r="H95" s="40">
        <f>H93+H94</f>
        <v>29609538.461538464</v>
      </c>
    </row>
    <row r="96" spans="1:10" s="15" customFormat="1" ht="14" thickTop="1" thickBot="1" x14ac:dyDescent="0.35">
      <c r="A96" s="56">
        <f>C96/E68</f>
        <v>0.33498961593312837</v>
      </c>
      <c r="B96" s="56">
        <f>C96/E86</f>
        <v>0.22494043563444283</v>
      </c>
      <c r="C96" s="57">
        <f>E92</f>
        <v>85443174.594871849</v>
      </c>
      <c r="D96" s="97"/>
      <c r="I96" s="29"/>
    </row>
    <row r="97" spans="1:11" s="15" customFormat="1" ht="13.5" thickTop="1" thickBot="1" x14ac:dyDescent="0.3"/>
    <row r="98" spans="1:11" s="15" customFormat="1" ht="14" thickTop="1" thickBot="1" x14ac:dyDescent="0.35">
      <c r="B98" s="56">
        <v>0.15</v>
      </c>
      <c r="C98" s="57">
        <f>IF(E96&lt;E90,IF(E90&gt;E89,E89,E90),E96)</f>
        <v>38259323.81076923</v>
      </c>
      <c r="D98" s="97"/>
    </row>
    <row r="99" spans="1:11" s="15" customFormat="1" ht="13" thickTop="1" x14ac:dyDescent="0.25"/>
    <row r="100" spans="1:11" s="15" customFormat="1" x14ac:dyDescent="0.25">
      <c r="C100" s="102">
        <f>E92/E68</f>
        <v>0.33498961593312837</v>
      </c>
    </row>
    <row r="101" spans="1:11" s="15" customFormat="1" ht="13" hidden="1" x14ac:dyDescent="0.3">
      <c r="A101" s="43" t="s">
        <v>61</v>
      </c>
    </row>
    <row r="102" spans="1:11" s="15" customFormat="1" hidden="1" x14ac:dyDescent="0.25"/>
    <row r="103" spans="1:11" s="15" customFormat="1" ht="13" hidden="1" x14ac:dyDescent="0.3">
      <c r="A103" s="43" t="s">
        <v>72</v>
      </c>
      <c r="B103" s="43" t="s">
        <v>0</v>
      </c>
      <c r="C103" s="43" t="s">
        <v>6</v>
      </c>
      <c r="D103" s="43"/>
      <c r="E103" s="43" t="s">
        <v>7</v>
      </c>
      <c r="F103" s="43" t="s">
        <v>37</v>
      </c>
      <c r="G103" s="43"/>
      <c r="H103" s="43" t="s">
        <v>78</v>
      </c>
    </row>
    <row r="104" spans="1:11" s="15" customFormat="1" hidden="1" x14ac:dyDescent="0.25">
      <c r="A104" s="15">
        <v>1</v>
      </c>
      <c r="B104" s="15" t="s">
        <v>62</v>
      </c>
      <c r="C104" s="15">
        <v>130.00163318634657</v>
      </c>
      <c r="F104" s="15">
        <v>100</v>
      </c>
      <c r="H104" s="15">
        <v>32000</v>
      </c>
    </row>
    <row r="105" spans="1:11" s="15" customFormat="1" hidden="1" x14ac:dyDescent="0.25">
      <c r="A105" s="15">
        <v>2</v>
      </c>
      <c r="B105" s="15" t="s">
        <v>63</v>
      </c>
      <c r="C105" s="15">
        <v>133.20116641367741</v>
      </c>
      <c r="E105" s="15">
        <v>27</v>
      </c>
      <c r="H105" s="72">
        <v>33000</v>
      </c>
    </row>
    <row r="106" spans="1:11" s="15" customFormat="1" hidden="1" x14ac:dyDescent="0.25">
      <c r="A106" s="15">
        <v>3</v>
      </c>
      <c r="B106" s="15" t="s">
        <v>63</v>
      </c>
      <c r="C106" s="15">
        <v>130.50241835551824</v>
      </c>
      <c r="E106" s="15">
        <v>27</v>
      </c>
      <c r="H106" s="15">
        <f>H105</f>
        <v>33000</v>
      </c>
      <c r="K106" s="41"/>
    </row>
    <row r="107" spans="1:11" s="15" customFormat="1" hidden="1" x14ac:dyDescent="0.25">
      <c r="A107" s="15">
        <v>4</v>
      </c>
      <c r="B107" s="15" t="s">
        <v>64</v>
      </c>
      <c r="C107" s="15">
        <v>80.499021057258162</v>
      </c>
      <c r="E107" s="15">
        <v>27</v>
      </c>
      <c r="H107" s="15">
        <f>H105</f>
        <v>33000</v>
      </c>
      <c r="K107" s="41"/>
    </row>
    <row r="108" spans="1:11" s="15" customFormat="1" hidden="1" x14ac:dyDescent="0.25">
      <c r="A108" s="15">
        <v>5</v>
      </c>
      <c r="B108" s="15" t="s">
        <v>63</v>
      </c>
      <c r="C108" s="15">
        <v>133.19999205434826</v>
      </c>
      <c r="E108" s="15">
        <v>27</v>
      </c>
      <c r="H108" s="15">
        <f>H105</f>
        <v>33000</v>
      </c>
    </row>
    <row r="109" spans="1:11" s="15" customFormat="1" hidden="1" x14ac:dyDescent="0.25">
      <c r="A109" s="15">
        <v>6</v>
      </c>
      <c r="B109" s="15" t="s">
        <v>63</v>
      </c>
      <c r="C109" s="15">
        <v>130.49882736415313</v>
      </c>
      <c r="E109" s="15">
        <v>27</v>
      </c>
      <c r="H109" s="15">
        <f>H105</f>
        <v>33000</v>
      </c>
    </row>
    <row r="110" spans="1:11" s="15" customFormat="1" hidden="1" x14ac:dyDescent="0.25">
      <c r="A110" s="15">
        <v>7</v>
      </c>
      <c r="B110" s="15" t="s">
        <v>65</v>
      </c>
      <c r="C110" s="15">
        <v>80.4986727942633</v>
      </c>
      <c r="E110" s="15">
        <v>27</v>
      </c>
      <c r="H110" s="15">
        <f>H105</f>
        <v>33000</v>
      </c>
    </row>
    <row r="111" spans="1:11" s="15" customFormat="1" hidden="1" x14ac:dyDescent="0.25">
      <c r="A111" s="15">
        <v>8</v>
      </c>
      <c r="B111" s="15" t="s">
        <v>63</v>
      </c>
      <c r="C111" s="15">
        <v>133.19883040935673</v>
      </c>
      <c r="E111" s="15">
        <v>27</v>
      </c>
      <c r="H111" s="15">
        <f>H105</f>
        <v>33000</v>
      </c>
    </row>
    <row r="112" spans="1:11" s="15" customFormat="1" hidden="1" x14ac:dyDescent="0.25">
      <c r="A112" s="15">
        <v>9</v>
      </c>
      <c r="B112" s="15" t="s">
        <v>63</v>
      </c>
      <c r="C112" s="15">
        <v>130.50094876660341</v>
      </c>
      <c r="E112" s="15">
        <v>27</v>
      </c>
      <c r="H112" s="15">
        <f>H105</f>
        <v>33000</v>
      </c>
    </row>
    <row r="113" spans="1:8" s="15" customFormat="1" hidden="1" x14ac:dyDescent="0.25">
      <c r="A113" s="15">
        <v>10</v>
      </c>
      <c r="B113" s="15" t="s">
        <v>66</v>
      </c>
      <c r="C113" s="15">
        <v>80.498330386957377</v>
      </c>
      <c r="E113" s="15">
        <v>27</v>
      </c>
      <c r="H113" s="15">
        <f>H105</f>
        <v>33000</v>
      </c>
    </row>
    <row r="114" spans="1:8" s="15" customFormat="1" hidden="1" x14ac:dyDescent="0.25">
      <c r="A114" s="15">
        <v>11</v>
      </c>
      <c r="B114" s="15" t="s">
        <v>63</v>
      </c>
      <c r="C114" s="15">
        <v>133.19768127333464</v>
      </c>
      <c r="E114" s="15">
        <v>27</v>
      </c>
      <c r="H114" s="15">
        <f>H105</f>
        <v>33000</v>
      </c>
    </row>
    <row r="115" spans="1:8" s="15" customFormat="1" hidden="1" x14ac:dyDescent="0.25">
      <c r="A115" s="15">
        <v>12</v>
      </c>
      <c r="B115" s="15" t="s">
        <v>63</v>
      </c>
      <c r="C115" s="15">
        <v>130.49740525239818</v>
      </c>
      <c r="E115" s="15">
        <v>27</v>
      </c>
      <c r="H115" s="15">
        <f>H105</f>
        <v>33000</v>
      </c>
    </row>
    <row r="116" spans="1:8" s="15" customFormat="1" hidden="1" x14ac:dyDescent="0.25">
      <c r="A116" s="15">
        <v>13</v>
      </c>
      <c r="B116" s="15" t="s">
        <v>67</v>
      </c>
      <c r="C116" s="15">
        <v>80.501636278634876</v>
      </c>
      <c r="E116" s="15">
        <v>27</v>
      </c>
      <c r="H116" s="15">
        <f>H105</f>
        <v>33000</v>
      </c>
    </row>
    <row r="117" spans="1:8" s="15" customFormat="1" hidden="1" x14ac:dyDescent="0.25">
      <c r="A117" s="15">
        <v>14</v>
      </c>
      <c r="B117" s="15" t="s">
        <v>63</v>
      </c>
      <c r="C117" s="15">
        <v>133.20225948946484</v>
      </c>
      <c r="E117" s="15">
        <v>27</v>
      </c>
      <c r="H117" s="15">
        <f>H105</f>
        <v>33000</v>
      </c>
    </row>
    <row r="118" spans="1:8" s="15" customFormat="1" hidden="1" x14ac:dyDescent="0.25">
      <c r="A118" s="15">
        <v>15</v>
      </c>
      <c r="B118" s="15" t="s">
        <v>63</v>
      </c>
      <c r="C118" s="15">
        <v>130.49951124144673</v>
      </c>
      <c r="E118" s="15">
        <v>27</v>
      </c>
      <c r="H118" s="15">
        <f>H105</f>
        <v>33000</v>
      </c>
    </row>
    <row r="119" spans="1:8" s="15" customFormat="1" hidden="1" x14ac:dyDescent="0.25">
      <c r="A119" s="15">
        <v>16</v>
      </c>
      <c r="B119" s="15" t="s">
        <v>68</v>
      </c>
      <c r="C119" s="15">
        <v>80.501275017386604</v>
      </c>
      <c r="E119" s="15">
        <v>27</v>
      </c>
      <c r="H119" s="15">
        <f>H105</f>
        <v>33000</v>
      </c>
    </row>
    <row r="120" spans="1:8" s="15" customFormat="1" hidden="1" x14ac:dyDescent="0.25">
      <c r="A120" s="15">
        <v>17</v>
      </c>
      <c r="B120" s="15" t="s">
        <v>63</v>
      </c>
      <c r="C120" s="15">
        <v>133.20110428493663</v>
      </c>
      <c r="E120" s="15">
        <v>27</v>
      </c>
      <c r="H120" s="15">
        <f>H105</f>
        <v>33000</v>
      </c>
    </row>
    <row r="121" spans="1:8" s="15" customFormat="1" hidden="1" x14ac:dyDescent="0.25">
      <c r="A121" s="15">
        <v>18</v>
      </c>
      <c r="B121" s="15" t="s">
        <v>63</v>
      </c>
      <c r="C121" s="15">
        <v>130.50159446216068</v>
      </c>
      <c r="E121" s="15">
        <v>27</v>
      </c>
      <c r="H121" s="15">
        <f>H105</f>
        <v>33000</v>
      </c>
    </row>
    <row r="122" spans="1:8" s="15" customFormat="1" hidden="1" x14ac:dyDescent="0.25">
      <c r="A122" s="15">
        <v>19</v>
      </c>
      <c r="B122" s="15" t="s">
        <v>63</v>
      </c>
      <c r="C122" s="15">
        <v>109.49961234299892</v>
      </c>
      <c r="E122" s="15">
        <v>27</v>
      </c>
      <c r="H122" s="15">
        <f>H105</f>
        <v>33000</v>
      </c>
    </row>
    <row r="123" spans="1:8" s="15" customFormat="1" hidden="1" x14ac:dyDescent="0.25">
      <c r="A123" s="15">
        <v>20</v>
      </c>
      <c r="B123" s="15" t="s">
        <v>63</v>
      </c>
      <c r="C123" s="15">
        <v>133.19996132276157</v>
      </c>
      <c r="E123" s="15">
        <v>27</v>
      </c>
      <c r="H123" s="15">
        <f>H105</f>
        <v>33000</v>
      </c>
    </row>
    <row r="124" spans="1:8" s="15" customFormat="1" hidden="1" x14ac:dyDescent="0.25">
      <c r="A124" s="15">
        <v>21</v>
      </c>
      <c r="B124" s="15" t="s">
        <v>63</v>
      </c>
      <c r="C124" s="15">
        <v>130.49810474201283</v>
      </c>
      <c r="E124" s="15">
        <v>27</v>
      </c>
      <c r="H124" s="15">
        <f>H105</f>
        <v>33000</v>
      </c>
    </row>
    <row r="125" spans="1:8" s="15" customFormat="1" hidden="1" x14ac:dyDescent="0.25">
      <c r="A125" s="15">
        <v>22</v>
      </c>
      <c r="B125" s="15" t="s">
        <v>63</v>
      </c>
      <c r="C125" s="15">
        <v>109.5008667514157</v>
      </c>
      <c r="E125" s="15">
        <v>27</v>
      </c>
      <c r="H125" s="15">
        <f>H105</f>
        <v>33000</v>
      </c>
    </row>
    <row r="126" spans="1:8" s="15" customFormat="1" hidden="1" x14ac:dyDescent="0.25">
      <c r="A126" s="15">
        <v>23</v>
      </c>
      <c r="B126" s="15" t="s">
        <v>79</v>
      </c>
      <c r="C126" s="15">
        <v>151.99856605126368</v>
      </c>
      <c r="F126" s="15">
        <v>40</v>
      </c>
      <c r="H126" s="15">
        <v>35000</v>
      </c>
    </row>
    <row r="127" spans="1:8" s="15" customFormat="1" hidden="1" x14ac:dyDescent="0.25">
      <c r="A127" s="15">
        <v>24</v>
      </c>
      <c r="B127" s="15" t="s">
        <v>79</v>
      </c>
      <c r="C127" s="15">
        <v>151.99856605126368</v>
      </c>
      <c r="F127" s="15">
        <v>40</v>
      </c>
      <c r="H127" s="15">
        <v>35000</v>
      </c>
    </row>
    <row r="128" spans="1:8" s="15" customFormat="1" hidden="1" x14ac:dyDescent="0.25">
      <c r="A128" s="15">
        <v>25</v>
      </c>
      <c r="B128" s="15" t="s">
        <v>79</v>
      </c>
      <c r="C128" s="15">
        <v>186.99974875273679</v>
      </c>
      <c r="F128" s="15">
        <v>70</v>
      </c>
      <c r="H128" s="15">
        <v>35000</v>
      </c>
    </row>
    <row r="129" spans="1:19" s="15" customFormat="1" hidden="1" x14ac:dyDescent="0.25">
      <c r="A129" s="15">
        <v>26</v>
      </c>
      <c r="B129" s="15" t="s">
        <v>79</v>
      </c>
      <c r="C129" s="15">
        <v>186.99974875273679</v>
      </c>
      <c r="F129" s="15">
        <v>70</v>
      </c>
      <c r="H129" s="15">
        <v>35000</v>
      </c>
    </row>
    <row r="130" spans="1:19" s="15" customFormat="1" ht="13.5" hidden="1" thickBot="1" x14ac:dyDescent="0.35">
      <c r="G130" s="64"/>
    </row>
    <row r="131" spans="1:19" s="15" customFormat="1" ht="13" hidden="1" thickTop="1" x14ac:dyDescent="0.25"/>
    <row r="132" spans="1:19" s="15" customFormat="1" hidden="1" x14ac:dyDescent="0.25"/>
    <row r="133" spans="1:19" s="15" customFormat="1" hidden="1" x14ac:dyDescent="0.25"/>
    <row r="134" spans="1:19" s="15" customFormat="1" hidden="1" x14ac:dyDescent="0.25"/>
    <row r="135" spans="1:19" s="15" customFormat="1" hidden="1" x14ac:dyDescent="0.25"/>
    <row r="136" spans="1:19" s="15" customFormat="1" hidden="1" x14ac:dyDescent="0.25"/>
    <row r="137" spans="1:19" s="15" customFormat="1" ht="13" hidden="1" x14ac:dyDescent="0.3">
      <c r="A137" s="43" t="s">
        <v>70</v>
      </c>
      <c r="B137" s="1"/>
      <c r="C137" s="1"/>
      <c r="D137" s="1"/>
      <c r="E137" s="1"/>
      <c r="F137" s="1"/>
      <c r="G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</row>
    <row r="138" spans="1:19" s="15" customFormat="1" ht="13" hidden="1" x14ac:dyDescent="0.3">
      <c r="A138" s="43" t="s">
        <v>72</v>
      </c>
      <c r="B138" s="43" t="s">
        <v>0</v>
      </c>
      <c r="C138" s="43" t="s">
        <v>6</v>
      </c>
      <c r="D138" s="43"/>
      <c r="E138" s="43" t="s">
        <v>7</v>
      </c>
      <c r="F138" s="43" t="s">
        <v>37</v>
      </c>
      <c r="G138" s="43"/>
      <c r="H138" s="43" t="s">
        <v>34</v>
      </c>
      <c r="J138" s="1"/>
      <c r="K138" s="1"/>
      <c r="L138" s="1"/>
      <c r="M138" s="1"/>
      <c r="N138" s="1"/>
      <c r="O138" s="1"/>
      <c r="P138" s="1"/>
      <c r="Q138" s="1"/>
      <c r="R138" s="1"/>
      <c r="S138" s="1"/>
    </row>
    <row r="139" spans="1:19" s="15" customFormat="1" hidden="1" x14ac:dyDescent="0.25">
      <c r="A139" s="15">
        <v>1</v>
      </c>
      <c r="B139" s="15" t="s">
        <v>62</v>
      </c>
      <c r="C139" s="15">
        <v>132.69986893840104</v>
      </c>
      <c r="F139" s="15">
        <v>100</v>
      </c>
      <c r="H139" s="15">
        <v>32000</v>
      </c>
      <c r="M139" s="1"/>
      <c r="N139" s="1"/>
      <c r="O139" s="1"/>
      <c r="P139" s="1"/>
      <c r="Q139" s="1"/>
      <c r="R139" s="1"/>
      <c r="S139" s="1"/>
    </row>
    <row r="140" spans="1:19" s="15" customFormat="1" hidden="1" x14ac:dyDescent="0.25">
      <c r="A140" s="15">
        <v>2</v>
      </c>
      <c r="B140" s="15" t="s">
        <v>63</v>
      </c>
      <c r="C140" s="15">
        <v>133.20116641367741</v>
      </c>
      <c r="E140" s="15">
        <v>27</v>
      </c>
      <c r="H140" s="15">
        <f>H105</f>
        <v>33000</v>
      </c>
      <c r="M140" s="1"/>
      <c r="N140" s="1"/>
      <c r="O140" s="1"/>
      <c r="P140" s="1"/>
      <c r="Q140" s="1"/>
      <c r="R140" s="1"/>
      <c r="S140" s="1"/>
    </row>
    <row r="141" spans="1:19" s="15" customFormat="1" hidden="1" x14ac:dyDescent="0.25">
      <c r="A141" s="15">
        <v>3</v>
      </c>
      <c r="B141" s="15" t="s">
        <v>63</v>
      </c>
      <c r="C141" s="15">
        <v>130.50241835551824</v>
      </c>
      <c r="E141" s="15">
        <v>27</v>
      </c>
      <c r="H141" s="15">
        <f>H140</f>
        <v>33000</v>
      </c>
      <c r="M141" s="1"/>
      <c r="N141" s="1"/>
      <c r="O141" s="1"/>
      <c r="P141" s="1"/>
      <c r="Q141" s="1"/>
      <c r="R141" s="1"/>
      <c r="S141" s="1"/>
    </row>
    <row r="142" spans="1:19" s="15" customFormat="1" hidden="1" x14ac:dyDescent="0.25">
      <c r="A142" s="15">
        <v>4</v>
      </c>
      <c r="B142" s="15" t="s">
        <v>64</v>
      </c>
      <c r="C142" s="15">
        <v>80.499021057258162</v>
      </c>
      <c r="E142" s="15">
        <v>27</v>
      </c>
      <c r="H142" s="15">
        <f>H140</f>
        <v>33000</v>
      </c>
      <c r="M142" s="1"/>
      <c r="N142" s="1"/>
      <c r="O142" s="1"/>
      <c r="P142" s="1"/>
      <c r="Q142" s="1"/>
      <c r="R142" s="1"/>
      <c r="S142" s="1"/>
    </row>
    <row r="143" spans="1:19" s="15" customFormat="1" hidden="1" x14ac:dyDescent="0.25">
      <c r="A143" s="15">
        <v>5</v>
      </c>
      <c r="B143" s="15" t="s">
        <v>63</v>
      </c>
      <c r="C143" s="15">
        <v>133.19999205434826</v>
      </c>
      <c r="E143" s="15">
        <v>27</v>
      </c>
      <c r="H143" s="15">
        <f>H140</f>
        <v>33000</v>
      </c>
      <c r="M143" s="1"/>
      <c r="N143" s="1"/>
      <c r="O143" s="1"/>
      <c r="P143" s="1"/>
      <c r="Q143" s="1"/>
      <c r="R143" s="1"/>
      <c r="S143" s="1"/>
    </row>
    <row r="144" spans="1:19" s="15" customFormat="1" hidden="1" x14ac:dyDescent="0.25">
      <c r="A144" s="15">
        <v>6</v>
      </c>
      <c r="B144" s="15" t="s">
        <v>63</v>
      </c>
      <c r="C144" s="15">
        <v>130.49882736415313</v>
      </c>
      <c r="E144" s="15">
        <v>27</v>
      </c>
      <c r="H144" s="15">
        <f>H140</f>
        <v>33000</v>
      </c>
      <c r="M144" s="1"/>
      <c r="N144" s="1"/>
      <c r="O144" s="1"/>
      <c r="P144" s="1"/>
      <c r="Q144" s="1"/>
      <c r="R144" s="1"/>
      <c r="S144" s="1"/>
    </row>
    <row r="145" spans="1:19" s="15" customFormat="1" hidden="1" x14ac:dyDescent="0.25">
      <c r="A145" s="15">
        <v>7</v>
      </c>
      <c r="B145" s="15" t="s">
        <v>65</v>
      </c>
      <c r="C145" s="15">
        <v>80.4986727942633</v>
      </c>
      <c r="E145" s="15">
        <v>27</v>
      </c>
      <c r="H145" s="15">
        <f>H140</f>
        <v>33000</v>
      </c>
      <c r="M145" s="1"/>
      <c r="N145" s="1"/>
      <c r="O145" s="1"/>
      <c r="P145" s="1"/>
      <c r="Q145" s="1"/>
      <c r="R145" s="1"/>
      <c r="S145" s="1"/>
    </row>
    <row r="146" spans="1:19" s="15" customFormat="1" hidden="1" x14ac:dyDescent="0.25">
      <c r="A146" s="15">
        <v>8</v>
      </c>
      <c r="B146" s="15" t="s">
        <v>63</v>
      </c>
      <c r="C146" s="15">
        <v>133.19883040935673</v>
      </c>
      <c r="E146" s="15">
        <v>27</v>
      </c>
      <c r="H146" s="15">
        <f>H140</f>
        <v>33000</v>
      </c>
      <c r="M146" s="1"/>
      <c r="N146" s="1"/>
      <c r="O146" s="1"/>
      <c r="P146" s="1"/>
      <c r="Q146" s="1"/>
      <c r="R146" s="1"/>
      <c r="S146" s="1"/>
    </row>
    <row r="147" spans="1:19" s="15" customFormat="1" hidden="1" x14ac:dyDescent="0.25">
      <c r="A147" s="15">
        <v>9</v>
      </c>
      <c r="B147" s="15" t="s">
        <v>63</v>
      </c>
      <c r="C147" s="15">
        <v>130.50094876660341</v>
      </c>
      <c r="E147" s="15">
        <v>27</v>
      </c>
      <c r="H147" s="15">
        <f>H140</f>
        <v>33000</v>
      </c>
      <c r="M147" s="1"/>
      <c r="N147" s="1"/>
      <c r="O147" s="1"/>
      <c r="P147" s="1"/>
      <c r="Q147" s="1"/>
      <c r="R147" s="1"/>
      <c r="S147" s="1"/>
    </row>
    <row r="148" spans="1:19" s="15" customFormat="1" hidden="1" x14ac:dyDescent="0.25">
      <c r="A148" s="15">
        <v>10</v>
      </c>
      <c r="B148" s="15" t="s">
        <v>66</v>
      </c>
      <c r="C148" s="15">
        <v>80.498330386957377</v>
      </c>
      <c r="E148" s="15">
        <v>27</v>
      </c>
      <c r="H148" s="15">
        <f>H140</f>
        <v>33000</v>
      </c>
      <c r="M148" s="1"/>
      <c r="N148" s="1"/>
      <c r="O148" s="1"/>
      <c r="P148" s="1"/>
      <c r="Q148" s="1"/>
      <c r="R148" s="1"/>
      <c r="S148" s="1"/>
    </row>
    <row r="149" spans="1:19" s="15" customFormat="1" hidden="1" x14ac:dyDescent="0.25">
      <c r="A149" s="15">
        <v>11</v>
      </c>
      <c r="B149" s="15" t="s">
        <v>63</v>
      </c>
      <c r="C149" s="15">
        <v>133.19768127333464</v>
      </c>
      <c r="E149" s="15">
        <v>27</v>
      </c>
      <c r="H149" s="15">
        <f>H140</f>
        <v>33000</v>
      </c>
      <c r="M149" s="1"/>
      <c r="N149" s="1"/>
      <c r="O149" s="1"/>
      <c r="P149" s="1"/>
      <c r="Q149" s="1"/>
      <c r="R149" s="1"/>
      <c r="S149" s="1"/>
    </row>
    <row r="150" spans="1:19" s="15" customFormat="1" hidden="1" x14ac:dyDescent="0.25">
      <c r="A150" s="15">
        <v>12</v>
      </c>
      <c r="B150" s="15" t="s">
        <v>63</v>
      </c>
      <c r="C150" s="15">
        <v>130.49740525239818</v>
      </c>
      <c r="E150" s="15">
        <v>27</v>
      </c>
      <c r="H150" s="15">
        <f>H140</f>
        <v>33000</v>
      </c>
      <c r="M150" s="1"/>
      <c r="N150" s="1"/>
      <c r="O150" s="1"/>
      <c r="P150" s="1"/>
      <c r="Q150" s="1"/>
      <c r="R150" s="1"/>
      <c r="S150" s="1"/>
    </row>
    <row r="151" spans="1:19" s="15" customFormat="1" hidden="1" x14ac:dyDescent="0.25">
      <c r="A151" s="15">
        <v>13</v>
      </c>
      <c r="B151" s="15" t="s">
        <v>67</v>
      </c>
      <c r="C151" s="15">
        <v>80.501636278634876</v>
      </c>
      <c r="E151" s="15">
        <v>27</v>
      </c>
      <c r="H151" s="15">
        <f>H140</f>
        <v>33000</v>
      </c>
      <c r="M151" s="1"/>
      <c r="N151" s="1"/>
      <c r="O151" s="1"/>
      <c r="P151" s="1"/>
      <c r="Q151" s="1"/>
      <c r="R151" s="1"/>
      <c r="S151" s="1"/>
    </row>
    <row r="152" spans="1:19" s="15" customFormat="1" hidden="1" x14ac:dyDescent="0.25">
      <c r="A152" s="15">
        <v>14</v>
      </c>
      <c r="B152" s="15" t="s">
        <v>63</v>
      </c>
      <c r="C152" s="15">
        <v>133.20225948946484</v>
      </c>
      <c r="E152" s="15">
        <v>27</v>
      </c>
      <c r="H152" s="15">
        <f>H140</f>
        <v>33000</v>
      </c>
      <c r="M152" s="1"/>
      <c r="N152" s="1"/>
      <c r="O152" s="1"/>
      <c r="P152" s="1"/>
      <c r="Q152" s="1"/>
      <c r="R152" s="1"/>
      <c r="S152" s="1"/>
    </row>
    <row r="153" spans="1:19" s="15" customFormat="1" hidden="1" x14ac:dyDescent="0.25">
      <c r="A153" s="15">
        <v>15</v>
      </c>
      <c r="B153" s="15" t="s">
        <v>63</v>
      </c>
      <c r="C153" s="15">
        <v>130.49951124144673</v>
      </c>
      <c r="E153" s="15">
        <v>27</v>
      </c>
      <c r="H153" s="15">
        <f>H140</f>
        <v>33000</v>
      </c>
      <c r="M153" s="1"/>
      <c r="N153" s="1"/>
      <c r="O153" s="1"/>
      <c r="P153" s="1"/>
      <c r="Q153" s="1"/>
      <c r="R153" s="1"/>
      <c r="S153" s="1"/>
    </row>
    <row r="154" spans="1:19" s="15" customFormat="1" hidden="1" x14ac:dyDescent="0.25">
      <c r="A154" s="15">
        <v>16</v>
      </c>
      <c r="B154" s="15" t="s">
        <v>63</v>
      </c>
      <c r="C154" s="15">
        <v>109.49834198104007</v>
      </c>
      <c r="E154" s="15">
        <v>27</v>
      </c>
      <c r="H154" s="15">
        <f>H140</f>
        <v>33000</v>
      </c>
      <c r="M154" s="1"/>
      <c r="N154" s="1"/>
      <c r="O154" s="1"/>
      <c r="P154" s="1"/>
      <c r="Q154" s="1"/>
      <c r="R154" s="1"/>
      <c r="S154" s="1"/>
    </row>
    <row r="155" spans="1:19" s="15" customFormat="1" hidden="1" x14ac:dyDescent="0.25">
      <c r="A155" s="15">
        <v>17</v>
      </c>
      <c r="B155" s="15" t="s">
        <v>63</v>
      </c>
      <c r="C155" s="15">
        <v>133.20110428493663</v>
      </c>
      <c r="E155" s="15">
        <v>27</v>
      </c>
      <c r="H155" s="15">
        <f>H140</f>
        <v>33000</v>
      </c>
      <c r="M155" s="1"/>
      <c r="N155" s="1"/>
      <c r="O155" s="1"/>
      <c r="P155" s="1"/>
      <c r="Q155" s="1"/>
      <c r="R155" s="1"/>
      <c r="S155" s="1"/>
    </row>
    <row r="156" spans="1:19" s="15" customFormat="1" hidden="1" x14ac:dyDescent="0.25">
      <c r="A156" s="15">
        <v>18</v>
      </c>
      <c r="B156" s="15" t="s">
        <v>63</v>
      </c>
      <c r="C156" s="15">
        <v>130.50159446216068</v>
      </c>
      <c r="E156" s="15">
        <v>27</v>
      </c>
      <c r="H156" s="15">
        <f>H140</f>
        <v>33000</v>
      </c>
      <c r="M156" s="1"/>
      <c r="N156" s="1"/>
      <c r="O156" s="1"/>
      <c r="P156" s="1"/>
      <c r="Q156" s="1"/>
      <c r="R156" s="1"/>
      <c r="S156" s="1"/>
    </row>
    <row r="157" spans="1:19" s="15" customFormat="1" hidden="1" x14ac:dyDescent="0.25">
      <c r="A157" s="15">
        <v>19</v>
      </c>
      <c r="B157" s="15" t="s">
        <v>63</v>
      </c>
      <c r="C157" s="15">
        <v>109.49961234299892</v>
      </c>
      <c r="E157" s="15">
        <v>27</v>
      </c>
      <c r="H157" s="15">
        <f>H140</f>
        <v>33000</v>
      </c>
      <c r="M157" s="1"/>
      <c r="N157" s="1"/>
      <c r="O157" s="1"/>
      <c r="P157" s="1"/>
      <c r="Q157" s="1"/>
      <c r="R157" s="1"/>
      <c r="S157" s="1"/>
    </row>
    <row r="158" spans="1:19" s="15" customFormat="1" hidden="1" x14ac:dyDescent="0.25">
      <c r="A158" s="15">
        <v>20</v>
      </c>
      <c r="B158" s="15" t="s">
        <v>63</v>
      </c>
      <c r="C158" s="15">
        <v>133.19996132276157</v>
      </c>
      <c r="E158" s="15">
        <v>27</v>
      </c>
      <c r="H158" s="15">
        <f>H140</f>
        <v>33000</v>
      </c>
      <c r="M158" s="1"/>
      <c r="N158" s="1"/>
      <c r="O158" s="1"/>
      <c r="P158" s="1"/>
      <c r="Q158" s="1"/>
      <c r="R158" s="1"/>
      <c r="S158" s="1"/>
    </row>
    <row r="159" spans="1:19" s="15" customFormat="1" hidden="1" x14ac:dyDescent="0.25">
      <c r="A159" s="15">
        <v>21</v>
      </c>
      <c r="B159" s="15" t="s">
        <v>63</v>
      </c>
      <c r="C159" s="15">
        <v>130.49810474201283</v>
      </c>
      <c r="E159" s="15">
        <v>27</v>
      </c>
      <c r="H159" s="15">
        <f>H140</f>
        <v>33000</v>
      </c>
      <c r="M159" s="1"/>
      <c r="N159" s="1"/>
      <c r="O159" s="1"/>
      <c r="P159" s="1"/>
      <c r="Q159" s="1"/>
      <c r="R159" s="1"/>
      <c r="S159" s="1"/>
    </row>
    <row r="160" spans="1:19" s="15" customFormat="1" hidden="1" x14ac:dyDescent="0.25">
      <c r="A160" s="15">
        <v>22</v>
      </c>
      <c r="B160" s="15" t="s">
        <v>63</v>
      </c>
      <c r="C160" s="15">
        <v>109.5008667514157</v>
      </c>
      <c r="E160" s="15">
        <v>27</v>
      </c>
      <c r="H160" s="15">
        <f>H140</f>
        <v>33000</v>
      </c>
      <c r="M160" s="1"/>
      <c r="N160" s="1"/>
      <c r="O160" s="1"/>
      <c r="P160" s="1"/>
      <c r="Q160" s="1"/>
      <c r="R160" s="1"/>
      <c r="S160" s="1"/>
    </row>
    <row r="161" spans="1:19" s="15" customFormat="1" hidden="1" x14ac:dyDescent="0.25">
      <c r="A161" s="15">
        <v>23</v>
      </c>
      <c r="B161" s="15" t="s">
        <v>79</v>
      </c>
      <c r="C161" s="15">
        <v>151.99856605126368</v>
      </c>
      <c r="F161" s="15">
        <v>40</v>
      </c>
      <c r="H161" s="15">
        <v>35000</v>
      </c>
      <c r="M161" s="1"/>
      <c r="N161" s="1"/>
      <c r="O161" s="1"/>
      <c r="P161" s="1"/>
      <c r="Q161" s="1"/>
      <c r="R161" s="1"/>
      <c r="S161" s="1"/>
    </row>
    <row r="162" spans="1:19" s="15" customFormat="1" hidden="1" x14ac:dyDescent="0.25">
      <c r="A162" s="15">
        <v>24</v>
      </c>
      <c r="B162" s="15" t="s">
        <v>79</v>
      </c>
      <c r="C162" s="15">
        <v>151.99856605126368</v>
      </c>
      <c r="F162" s="15">
        <v>40</v>
      </c>
      <c r="H162" s="15">
        <v>35000</v>
      </c>
      <c r="M162" s="1"/>
      <c r="N162" s="1"/>
      <c r="O162" s="1"/>
      <c r="P162" s="1"/>
      <c r="Q162" s="1"/>
      <c r="R162" s="1"/>
      <c r="S162" s="1"/>
    </row>
    <row r="163" spans="1:19" s="15" customFormat="1" hidden="1" x14ac:dyDescent="0.25">
      <c r="A163" s="15">
        <v>25</v>
      </c>
      <c r="B163" s="15" t="s">
        <v>80</v>
      </c>
      <c r="C163" s="15">
        <v>186.99974875273679</v>
      </c>
      <c r="F163" s="15">
        <v>70</v>
      </c>
      <c r="H163" s="15">
        <v>35000</v>
      </c>
      <c r="M163" s="1"/>
      <c r="N163" s="1"/>
      <c r="O163" s="1"/>
      <c r="P163" s="1"/>
      <c r="Q163" s="1"/>
      <c r="R163" s="1"/>
      <c r="S163" s="1"/>
    </row>
    <row r="164" spans="1:19" s="15" customFormat="1" hidden="1" x14ac:dyDescent="0.25">
      <c r="A164" s="15">
        <v>26</v>
      </c>
      <c r="B164" s="15" t="s">
        <v>80</v>
      </c>
      <c r="C164" s="15">
        <v>186.99974875273679</v>
      </c>
      <c r="F164" s="15">
        <v>70</v>
      </c>
      <c r="H164" s="15">
        <v>35000</v>
      </c>
    </row>
    <row r="165" spans="1:19" s="15" customFormat="1" ht="13.5" hidden="1" thickBot="1" x14ac:dyDescent="0.35">
      <c r="G165" s="64"/>
    </row>
    <row r="166" spans="1:19" s="15" customFormat="1" ht="13" hidden="1" thickTop="1" x14ac:dyDescent="0.25"/>
    <row r="167" spans="1:19" s="15" customFormat="1" hidden="1" x14ac:dyDescent="0.25"/>
    <row r="168" spans="1:19" s="15" customFormat="1" ht="13" hidden="1" x14ac:dyDescent="0.3">
      <c r="A168" s="43" t="s">
        <v>71</v>
      </c>
    </row>
    <row r="169" spans="1:19" s="15" customFormat="1" ht="13" hidden="1" x14ac:dyDescent="0.3">
      <c r="A169" s="43" t="s">
        <v>72</v>
      </c>
      <c r="B169" s="43" t="s">
        <v>0</v>
      </c>
      <c r="C169" s="43" t="s">
        <v>6</v>
      </c>
      <c r="D169" s="43"/>
      <c r="E169" s="43" t="s">
        <v>7</v>
      </c>
      <c r="F169" s="43" t="s">
        <v>37</v>
      </c>
      <c r="G169" s="43"/>
      <c r="H169" s="43" t="s">
        <v>34</v>
      </c>
    </row>
    <row r="170" spans="1:19" s="15" customFormat="1" hidden="1" x14ac:dyDescent="0.25">
      <c r="A170" s="15">
        <v>1</v>
      </c>
      <c r="B170" s="15" t="s">
        <v>62</v>
      </c>
      <c r="C170" s="15">
        <v>127.60001302040949</v>
      </c>
      <c r="F170" s="15">
        <v>100</v>
      </c>
      <c r="H170" s="15">
        <v>32000</v>
      </c>
    </row>
    <row r="171" spans="1:19" s="15" customFormat="1" hidden="1" x14ac:dyDescent="0.25">
      <c r="A171" s="15">
        <v>2</v>
      </c>
      <c r="B171" s="15" t="s">
        <v>63</v>
      </c>
      <c r="C171" s="15">
        <v>128.0984091454153</v>
      </c>
      <c r="E171" s="15">
        <v>27</v>
      </c>
      <c r="H171" s="15">
        <f>H105</f>
        <v>33000</v>
      </c>
    </row>
    <row r="172" spans="1:19" s="15" customFormat="1" hidden="1" x14ac:dyDescent="0.25">
      <c r="A172" s="15">
        <v>3</v>
      </c>
      <c r="B172" s="15" t="s">
        <v>63</v>
      </c>
      <c r="C172" s="15">
        <v>128.0984091454153</v>
      </c>
      <c r="E172" s="15">
        <v>27</v>
      </c>
      <c r="H172" s="15">
        <f>H171</f>
        <v>33000</v>
      </c>
    </row>
    <row r="173" spans="1:19" s="15" customFormat="1" hidden="1" x14ac:dyDescent="0.25">
      <c r="A173" s="15">
        <v>4</v>
      </c>
      <c r="B173" s="15" t="s">
        <v>64</v>
      </c>
      <c r="C173" s="15">
        <v>80.499021057258162</v>
      </c>
      <c r="E173" s="15">
        <v>27</v>
      </c>
      <c r="H173" s="15">
        <f>H171</f>
        <v>33000</v>
      </c>
    </row>
    <row r="174" spans="1:19" s="15" customFormat="1" hidden="1" x14ac:dyDescent="0.25">
      <c r="A174" s="15">
        <v>5</v>
      </c>
      <c r="B174" s="15" t="s">
        <v>63</v>
      </c>
      <c r="C174" s="15">
        <v>128.1025875432251</v>
      </c>
      <c r="E174" s="15">
        <v>27</v>
      </c>
      <c r="H174" s="15">
        <f>H171</f>
        <v>33000</v>
      </c>
    </row>
    <row r="175" spans="1:19" s="15" customFormat="1" hidden="1" x14ac:dyDescent="0.25">
      <c r="A175" s="15">
        <v>6</v>
      </c>
      <c r="B175" s="15" t="s">
        <v>63</v>
      </c>
      <c r="C175" s="15">
        <v>128.1025875432251</v>
      </c>
      <c r="E175" s="15">
        <v>27</v>
      </c>
      <c r="H175" s="15">
        <f>H171</f>
        <v>33000</v>
      </c>
    </row>
    <row r="176" spans="1:19" s="15" customFormat="1" hidden="1" x14ac:dyDescent="0.25">
      <c r="A176" s="15">
        <v>7</v>
      </c>
      <c r="B176" s="15" t="s">
        <v>65</v>
      </c>
      <c r="C176" s="15">
        <v>80.4986727942633</v>
      </c>
      <c r="E176" s="15">
        <v>27</v>
      </c>
      <c r="H176" s="15">
        <f>H171</f>
        <v>33000</v>
      </c>
    </row>
    <row r="177" spans="1:8" s="15" customFormat="1" hidden="1" x14ac:dyDescent="0.25">
      <c r="A177" s="15">
        <v>8</v>
      </c>
      <c r="B177" s="15" t="s">
        <v>63</v>
      </c>
      <c r="C177" s="15">
        <v>128.10114224734201</v>
      </c>
      <c r="E177" s="15">
        <v>27</v>
      </c>
      <c r="H177" s="15">
        <f>H171</f>
        <v>33000</v>
      </c>
    </row>
    <row r="178" spans="1:8" s="15" customFormat="1" hidden="1" x14ac:dyDescent="0.25">
      <c r="A178" s="15">
        <v>9</v>
      </c>
      <c r="B178" s="15" t="s">
        <v>63</v>
      </c>
      <c r="C178" s="15">
        <v>128.10114224734201</v>
      </c>
      <c r="E178" s="15">
        <v>27</v>
      </c>
      <c r="H178" s="15">
        <f>H171</f>
        <v>33000</v>
      </c>
    </row>
    <row r="179" spans="1:8" s="15" customFormat="1" hidden="1" x14ac:dyDescent="0.25">
      <c r="A179" s="15">
        <v>10</v>
      </c>
      <c r="B179" s="15" t="s">
        <v>66</v>
      </c>
      <c r="C179" s="15">
        <v>80.498330386957377</v>
      </c>
      <c r="E179" s="15">
        <v>27</v>
      </c>
      <c r="H179" s="15">
        <f>H171</f>
        <v>33000</v>
      </c>
    </row>
    <row r="180" spans="1:8" s="15" customFormat="1" hidden="1" x14ac:dyDescent="0.25">
      <c r="A180" s="15">
        <v>11</v>
      </c>
      <c r="B180" s="15" t="s">
        <v>63</v>
      </c>
      <c r="C180" s="15">
        <v>128.09971308414887</v>
      </c>
      <c r="E180" s="15">
        <v>27</v>
      </c>
      <c r="H180" s="15">
        <f>H171</f>
        <v>33000</v>
      </c>
    </row>
    <row r="181" spans="1:8" s="15" customFormat="1" hidden="1" x14ac:dyDescent="0.25">
      <c r="A181" s="15">
        <v>12</v>
      </c>
      <c r="B181" s="15" t="s">
        <v>63</v>
      </c>
      <c r="C181" s="15">
        <v>128.09971308414887</v>
      </c>
      <c r="E181" s="15">
        <v>27</v>
      </c>
      <c r="H181" s="15">
        <f>H171</f>
        <v>33000</v>
      </c>
    </row>
    <row r="182" spans="1:8" s="15" customFormat="1" hidden="1" x14ac:dyDescent="0.25">
      <c r="A182" s="15">
        <v>13</v>
      </c>
      <c r="B182" s="15" t="s">
        <v>67</v>
      </c>
      <c r="C182" s="15">
        <v>80.501636278634876</v>
      </c>
      <c r="E182" s="15">
        <v>27</v>
      </c>
      <c r="H182" s="15">
        <f>H171</f>
        <v>33000</v>
      </c>
    </row>
    <row r="183" spans="1:8" s="15" customFormat="1" hidden="1" x14ac:dyDescent="0.25">
      <c r="A183" s="15">
        <v>14</v>
      </c>
      <c r="B183" s="15" t="s">
        <v>63</v>
      </c>
      <c r="C183" s="15">
        <v>128.09829978503029</v>
      </c>
      <c r="E183" s="15">
        <v>27</v>
      </c>
      <c r="H183" s="15">
        <f>H171</f>
        <v>33000</v>
      </c>
    </row>
    <row r="184" spans="1:8" s="15" customFormat="1" hidden="1" x14ac:dyDescent="0.25">
      <c r="A184" s="15">
        <v>15</v>
      </c>
      <c r="B184" s="15" t="s">
        <v>63</v>
      </c>
      <c r="C184" s="15">
        <v>128.09829978503029</v>
      </c>
      <c r="E184" s="15">
        <v>27</v>
      </c>
      <c r="H184" s="15">
        <f>H171</f>
        <v>33000</v>
      </c>
    </row>
    <row r="185" spans="1:8" s="15" customFormat="1" hidden="1" x14ac:dyDescent="0.25">
      <c r="A185" s="15">
        <v>16</v>
      </c>
      <c r="B185" s="15" t="s">
        <v>68</v>
      </c>
      <c r="C185" s="15">
        <v>80.501275017386604</v>
      </c>
      <c r="E185" s="15">
        <v>27</v>
      </c>
      <c r="H185" s="15">
        <f>H171</f>
        <v>33000</v>
      </c>
    </row>
    <row r="186" spans="1:8" s="15" customFormat="1" hidden="1" x14ac:dyDescent="0.25">
      <c r="A186" s="15">
        <v>17</v>
      </c>
      <c r="B186" s="15" t="s">
        <v>63</v>
      </c>
      <c r="C186" s="15">
        <v>128.10238669050767</v>
      </c>
      <c r="E186" s="15">
        <v>27</v>
      </c>
      <c r="H186" s="15">
        <f>H171</f>
        <v>33000</v>
      </c>
    </row>
    <row r="187" spans="1:8" s="15" customFormat="1" hidden="1" x14ac:dyDescent="0.25">
      <c r="A187" s="15">
        <v>18</v>
      </c>
      <c r="B187" s="15" t="s">
        <v>63</v>
      </c>
      <c r="C187" s="15">
        <v>128.10238669050767</v>
      </c>
      <c r="E187" s="15">
        <v>27</v>
      </c>
      <c r="H187" s="15">
        <f>H171</f>
        <v>33000</v>
      </c>
    </row>
    <row r="188" spans="1:8" s="15" customFormat="1" hidden="1" x14ac:dyDescent="0.25">
      <c r="A188" s="15">
        <v>19</v>
      </c>
      <c r="B188" s="15" t="s">
        <v>69</v>
      </c>
      <c r="C188" s="15">
        <v>80.500919681177194</v>
      </c>
      <c r="E188" s="15">
        <v>27</v>
      </c>
      <c r="H188" s="15">
        <f>H171</f>
        <v>33000</v>
      </c>
    </row>
    <row r="189" spans="1:8" s="15" customFormat="1" hidden="1" x14ac:dyDescent="0.25">
      <c r="A189" s="15">
        <v>20</v>
      </c>
      <c r="B189" s="15" t="s">
        <v>63</v>
      </c>
      <c r="C189" s="15">
        <v>128.10097417658884</v>
      </c>
      <c r="E189" s="15">
        <v>27</v>
      </c>
      <c r="H189" s="15">
        <f>H171</f>
        <v>33000</v>
      </c>
    </row>
    <row r="190" spans="1:8" s="15" customFormat="1" hidden="1" x14ac:dyDescent="0.25">
      <c r="A190" s="15">
        <v>21</v>
      </c>
      <c r="B190" s="15" t="s">
        <v>63</v>
      </c>
      <c r="C190" s="15">
        <v>128.10097417658884</v>
      </c>
      <c r="E190" s="15">
        <v>27</v>
      </c>
      <c r="H190" s="15">
        <f>H171</f>
        <v>33000</v>
      </c>
    </row>
    <row r="191" spans="1:8" s="15" customFormat="1" hidden="1" x14ac:dyDescent="0.25">
      <c r="A191" s="15">
        <v>22</v>
      </c>
      <c r="B191" s="15" t="s">
        <v>79</v>
      </c>
      <c r="C191" s="15">
        <v>138.99856605126368</v>
      </c>
      <c r="E191" s="15">
        <v>27</v>
      </c>
      <c r="H191" s="15">
        <f>H171</f>
        <v>33000</v>
      </c>
    </row>
    <row r="192" spans="1:8" s="15" customFormat="1" hidden="1" x14ac:dyDescent="0.25">
      <c r="A192" s="15">
        <v>23</v>
      </c>
      <c r="B192" s="15" t="s">
        <v>79</v>
      </c>
      <c r="C192" s="15">
        <v>151.99856605126368</v>
      </c>
      <c r="F192" s="15">
        <v>40</v>
      </c>
      <c r="H192" s="15">
        <v>35000</v>
      </c>
    </row>
    <row r="193" spans="1:8" s="15" customFormat="1" hidden="1" x14ac:dyDescent="0.25">
      <c r="A193" s="15">
        <v>24</v>
      </c>
      <c r="B193" s="15" t="s">
        <v>80</v>
      </c>
      <c r="C193" s="15">
        <v>186.99974875273679</v>
      </c>
      <c r="F193" s="15">
        <v>40</v>
      </c>
      <c r="H193" s="15">
        <v>35000</v>
      </c>
    </row>
    <row r="194" spans="1:8" s="15" customFormat="1" hidden="1" x14ac:dyDescent="0.25">
      <c r="A194" s="15">
        <v>25</v>
      </c>
      <c r="B194" s="15" t="s">
        <v>80</v>
      </c>
      <c r="C194" s="15">
        <v>186.99974875273679</v>
      </c>
      <c r="F194" s="15">
        <v>70</v>
      </c>
      <c r="H194" s="15">
        <v>35000</v>
      </c>
    </row>
    <row r="195" spans="1:8" s="15" customFormat="1" ht="13.5" hidden="1" thickBot="1" x14ac:dyDescent="0.35">
      <c r="G195" s="64"/>
    </row>
    <row r="196" spans="1:8" s="15" customFormat="1" ht="13" hidden="1" thickTop="1" x14ac:dyDescent="0.25"/>
    <row r="197" spans="1:8" s="15" customFormat="1" hidden="1" x14ac:dyDescent="0.25"/>
    <row r="198" spans="1:8" s="15" customFormat="1" hidden="1" x14ac:dyDescent="0.25"/>
    <row r="199" spans="1:8" s="15" customFormat="1" hidden="1" x14ac:dyDescent="0.25"/>
    <row r="200" spans="1:8" s="15" customFormat="1" hidden="1" x14ac:dyDescent="0.25"/>
    <row r="201" spans="1:8" s="15" customFormat="1" hidden="1" x14ac:dyDescent="0.25"/>
    <row r="202" spans="1:8" s="15" customFormat="1" ht="13" hidden="1" x14ac:dyDescent="0.3">
      <c r="B202" s="43" t="s">
        <v>76</v>
      </c>
      <c r="C202" s="43" t="s">
        <v>77</v>
      </c>
      <c r="D202" s="43"/>
    </row>
    <row r="203" spans="1:8" s="15" customFormat="1" hidden="1" x14ac:dyDescent="0.25">
      <c r="A203" s="15" t="s">
        <v>73</v>
      </c>
      <c r="B203" s="15">
        <v>3</v>
      </c>
      <c r="C203" s="15">
        <v>1</v>
      </c>
    </row>
    <row r="204" spans="1:8" s="15" customFormat="1" hidden="1" x14ac:dyDescent="0.25">
      <c r="A204" s="15" t="s">
        <v>75</v>
      </c>
      <c r="C204" s="15">
        <v>1</v>
      </c>
    </row>
    <row r="205" spans="1:8" s="15" customFormat="1" hidden="1" x14ac:dyDescent="0.25">
      <c r="A205" s="15" t="s">
        <v>74</v>
      </c>
      <c r="B205" s="29">
        <v>1</v>
      </c>
      <c r="C205" s="29">
        <v>1</v>
      </c>
      <c r="D205" s="29"/>
    </row>
    <row r="206" spans="1:8" s="15" customFormat="1" ht="13" hidden="1" x14ac:dyDescent="0.3">
      <c r="A206" s="40" t="s">
        <v>82</v>
      </c>
      <c r="B206" s="40">
        <f>SUM(B203:B205)</f>
        <v>4</v>
      </c>
      <c r="C206" s="40">
        <f>SUM(C203:C205)</f>
        <v>3</v>
      </c>
      <c r="D206" s="40"/>
    </row>
    <row r="207" spans="1:8" s="15" customFormat="1" x14ac:dyDescent="0.25"/>
    <row r="208" spans="1:8" s="15" customFormat="1" x14ac:dyDescent="0.25"/>
    <row r="209" s="15" customFormat="1" x14ac:dyDescent="0.25"/>
    <row r="210" s="15" customFormat="1" x14ac:dyDescent="0.25"/>
    <row r="211" s="15" customFormat="1" x14ac:dyDescent="0.25"/>
    <row r="212" s="15" customFormat="1" x14ac:dyDescent="0.25"/>
    <row r="213" s="15" customFormat="1" x14ac:dyDescent="0.25"/>
    <row r="214" s="15" customFormat="1" x14ac:dyDescent="0.25"/>
    <row r="215" s="15" customFormat="1" x14ac:dyDescent="0.25"/>
    <row r="216" s="15" customFormat="1" x14ac:dyDescent="0.25"/>
    <row r="217" s="15" customFormat="1" x14ac:dyDescent="0.25"/>
    <row r="218" s="15" customFormat="1" x14ac:dyDescent="0.25"/>
    <row r="219" s="15" customFormat="1" x14ac:dyDescent="0.25"/>
    <row r="220" s="15" customFormat="1" x14ac:dyDescent="0.25"/>
    <row r="221" s="15" customFormat="1" x14ac:dyDescent="0.25"/>
    <row r="222" s="15" customFormat="1" x14ac:dyDescent="0.25"/>
    <row r="223" s="15" customFormat="1" x14ac:dyDescent="0.25"/>
    <row r="224" s="15" customFormat="1" x14ac:dyDescent="0.25"/>
    <row r="225" s="15" customFormat="1" x14ac:dyDescent="0.25"/>
    <row r="226" s="15" customFormat="1" x14ac:dyDescent="0.25"/>
    <row r="227" s="15" customFormat="1" x14ac:dyDescent="0.25"/>
    <row r="228" s="15" customFormat="1" x14ac:dyDescent="0.25"/>
    <row r="229" s="15" customFormat="1" x14ac:dyDescent="0.25"/>
    <row r="230" s="15" customFormat="1" x14ac:dyDescent="0.25"/>
    <row r="231" s="15" customFormat="1" x14ac:dyDescent="0.25"/>
    <row r="232" s="15" customFormat="1" x14ac:dyDescent="0.25"/>
    <row r="233" s="15" customFormat="1" x14ac:dyDescent="0.25"/>
    <row r="234" s="15" customFormat="1" x14ac:dyDescent="0.25"/>
    <row r="235" s="15" customFormat="1" x14ac:dyDescent="0.25"/>
    <row r="236" s="15" customFormat="1" x14ac:dyDescent="0.25"/>
    <row r="237" s="15" customFormat="1" x14ac:dyDescent="0.25"/>
    <row r="238" s="15" customFormat="1" x14ac:dyDescent="0.25"/>
    <row r="239" s="15" customFormat="1" x14ac:dyDescent="0.25"/>
    <row r="240" s="15" customFormat="1" x14ac:dyDescent="0.25"/>
    <row r="241" s="15" customFormat="1" x14ac:dyDescent="0.25"/>
    <row r="242" s="15" customFormat="1" x14ac:dyDescent="0.25"/>
    <row r="243" s="15" customFormat="1" x14ac:dyDescent="0.25"/>
    <row r="244" s="15" customFormat="1" x14ac:dyDescent="0.25"/>
    <row r="245" s="15" customFormat="1" x14ac:dyDescent="0.25"/>
    <row r="246" s="15" customFormat="1" x14ac:dyDescent="0.25"/>
    <row r="247" s="15" customFormat="1" x14ac:dyDescent="0.25"/>
    <row r="248" s="15" customFormat="1" x14ac:dyDescent="0.25"/>
    <row r="249" s="15" customFormat="1" x14ac:dyDescent="0.25"/>
    <row r="250" s="15" customFormat="1" x14ac:dyDescent="0.25"/>
    <row r="251" s="15" customFormat="1" x14ac:dyDescent="0.25"/>
    <row r="252" s="15" customFormat="1" x14ac:dyDescent="0.25"/>
    <row r="253" s="15" customFormat="1" x14ac:dyDescent="0.25"/>
    <row r="254" s="15" customFormat="1" x14ac:dyDescent="0.25"/>
    <row r="255" s="15" customFormat="1" x14ac:dyDescent="0.25"/>
    <row r="256" s="15" customFormat="1" x14ac:dyDescent="0.25"/>
    <row r="257" spans="1:4" s="15" customFormat="1" x14ac:dyDescent="0.25"/>
    <row r="258" spans="1:4" s="15" customFormat="1" x14ac:dyDescent="0.25"/>
    <row r="259" spans="1:4" s="15" customFormat="1" x14ac:dyDescent="0.25"/>
    <row r="260" spans="1:4" s="15" customFormat="1" ht="13" x14ac:dyDescent="0.3">
      <c r="A260" s="59"/>
    </row>
    <row r="261" spans="1:4" s="15" customFormat="1" x14ac:dyDescent="0.25">
      <c r="A261" s="41"/>
    </row>
    <row r="262" spans="1:4" s="15" customFormat="1" x14ac:dyDescent="0.25">
      <c r="A262" s="41"/>
    </row>
    <row r="263" spans="1:4" s="15" customFormat="1" x14ac:dyDescent="0.25">
      <c r="A263" s="41"/>
    </row>
    <row r="264" spans="1:4" s="15" customFormat="1" x14ac:dyDescent="0.25"/>
    <row r="265" spans="1:4" s="15" customFormat="1" x14ac:dyDescent="0.25"/>
    <row r="266" spans="1:4" s="15" customFormat="1" x14ac:dyDescent="0.25">
      <c r="A266" s="41"/>
      <c r="C266" s="41"/>
      <c r="D266" s="41"/>
    </row>
    <row r="267" spans="1:4" s="15" customFormat="1" x14ac:dyDescent="0.25"/>
    <row r="268" spans="1:4" s="15" customFormat="1" x14ac:dyDescent="0.25"/>
    <row r="269" spans="1:4" s="15" customFormat="1" x14ac:dyDescent="0.25"/>
    <row r="270" spans="1:4" s="15" customFormat="1" x14ac:dyDescent="0.25"/>
    <row r="271" spans="1:4" s="15" customFormat="1" x14ac:dyDescent="0.25"/>
    <row r="272" spans="1:4" s="15" customFormat="1" x14ac:dyDescent="0.25"/>
    <row r="273" spans="1:17" s="15" customFormat="1" x14ac:dyDescent="0.25"/>
    <row r="274" spans="1:17" x14ac:dyDescent="0.25">
      <c r="A274" s="15"/>
      <c r="B274" s="15"/>
      <c r="C274" s="15"/>
      <c r="D274" s="15"/>
      <c r="F274" s="15"/>
      <c r="G274" s="15"/>
      <c r="H274" s="15"/>
    </row>
    <row r="275" spans="1:17" x14ac:dyDescent="0.25">
      <c r="A275" s="15"/>
      <c r="B275" s="15"/>
      <c r="C275" s="15"/>
      <c r="D275" s="15"/>
    </row>
    <row r="277" spans="1:17" x14ac:dyDescent="0.25">
      <c r="A277" s="1" t="s">
        <v>60</v>
      </c>
    </row>
    <row r="279" spans="1:17" x14ac:dyDescent="0.25">
      <c r="C279" s="1" t="s">
        <v>34</v>
      </c>
      <c r="F279" s="1" t="s">
        <v>35</v>
      </c>
      <c r="G279" s="1" t="s">
        <v>36</v>
      </c>
      <c r="H279" s="1" t="s">
        <v>6</v>
      </c>
      <c r="J279" s="1" t="s">
        <v>7</v>
      </c>
      <c r="K279" s="1" t="s">
        <v>37</v>
      </c>
      <c r="L279" s="1" t="s">
        <v>0</v>
      </c>
    </row>
    <row r="280" spans="1:17" x14ac:dyDescent="0.25">
      <c r="A280" s="1" t="s">
        <v>8</v>
      </c>
      <c r="C280" s="1" t="str">
        <f>LEFT(A280,9)</f>
        <v xml:space="preserve">₪ 30,615 </v>
      </c>
      <c r="E280" s="1" t="str">
        <f>LEFT(A280,20)</f>
        <v>₪ 30,615 ₪ 3,980,000</v>
      </c>
      <c r="F280" s="1" t="str">
        <f>RIGHT(E280,9)</f>
        <v>3,980,000</v>
      </c>
      <c r="G280" s="1">
        <f>F280/1.17</f>
        <v>3401709.401709402</v>
      </c>
      <c r="H280" s="1" t="e">
        <f>F280/C280</f>
        <v>#VALUE!</v>
      </c>
      <c r="I280" s="1">
        <v>1</v>
      </c>
      <c r="K280" s="1">
        <v>100</v>
      </c>
      <c r="L280" s="61" t="str">
        <f>LEFT(Q280,20)</f>
        <v>דירת גן 5 חדרים קרקע</v>
      </c>
      <c r="Q280" s="1" t="str">
        <f>RIGHT(A280,38)</f>
        <v>דירת גן 5 חדרים קרקע 3,401,709 100 130</v>
      </c>
    </row>
    <row r="281" spans="1:17" x14ac:dyDescent="0.25">
      <c r="A281" s="1" t="s">
        <v>9</v>
      </c>
      <c r="C281" s="1" t="str">
        <f t="shared" ref="C281:C305" si="2">LEFT(A281,9)</f>
        <v xml:space="preserve">₪ 25,034 </v>
      </c>
      <c r="E281" s="1" t="str">
        <f t="shared" ref="E281:E305" si="3">LEFT(A281,20)</f>
        <v>₪ 25,034 ₪ 3,660,000</v>
      </c>
      <c r="F281" s="1" t="str">
        <f t="shared" ref="F281:F305" si="4">RIGHT(E281,9)</f>
        <v>3,660,000</v>
      </c>
      <c r="G281" s="1">
        <f t="shared" ref="G281:G305" si="5">F281/1.17</f>
        <v>3128205.1282051285</v>
      </c>
      <c r="H281" s="1" t="e">
        <f>F281/C281-13</f>
        <v>#VALUE!</v>
      </c>
      <c r="I281" s="1">
        <v>2</v>
      </c>
      <c r="J281" s="1">
        <v>27</v>
      </c>
      <c r="L281" s="61" t="str">
        <f>LEFT(Q281,13)</f>
        <v xml:space="preserve"> דירת 5 חדרים</v>
      </c>
      <c r="Q281" s="1" t="str">
        <f>RIGHT(A281,30)</f>
        <v xml:space="preserve"> דירת 5 חדרים 3,128,205 27 133</v>
      </c>
    </row>
    <row r="282" spans="1:17" x14ac:dyDescent="0.25">
      <c r="A282" s="1" t="s">
        <v>10</v>
      </c>
      <c r="C282" s="1" t="str">
        <f t="shared" si="2"/>
        <v xml:space="preserve">₪ 25,017 </v>
      </c>
      <c r="E282" s="1" t="str">
        <f t="shared" si="3"/>
        <v>₪ 25,017 ₪ 3,590,000</v>
      </c>
      <c r="F282" s="1" t="str">
        <f t="shared" si="4"/>
        <v>3,590,000</v>
      </c>
      <c r="G282" s="1">
        <f t="shared" si="5"/>
        <v>3068376.0683760685</v>
      </c>
      <c r="H282" s="1" t="e">
        <f t="shared" ref="H282:H301" si="6">F282/C282-13</f>
        <v>#VALUE!</v>
      </c>
      <c r="I282" s="1">
        <v>3</v>
      </c>
      <c r="J282" s="1">
        <v>27</v>
      </c>
      <c r="L282" s="61" t="str">
        <f t="shared" ref="L282:L305" si="7">LEFT(Q282,13)</f>
        <v xml:space="preserve"> דירת 5 חדרים</v>
      </c>
      <c r="Q282" s="1" t="str">
        <f t="shared" ref="Q282:Q305" si="8">RIGHT(A282,30)</f>
        <v xml:space="preserve"> דירת 5 חדרים 3,068,376 27 130</v>
      </c>
    </row>
    <row r="283" spans="1:17" x14ac:dyDescent="0.25">
      <c r="A283" s="1" t="s">
        <v>11</v>
      </c>
      <c r="C283" s="1" t="str">
        <f t="shared" si="2"/>
        <v xml:space="preserve">₪ 25,027 </v>
      </c>
      <c r="E283" s="1" t="str">
        <f t="shared" si="3"/>
        <v>₪ 25,027 ₪ 2,340,000</v>
      </c>
      <c r="F283" s="1" t="str">
        <f t="shared" si="4"/>
        <v>2,340,000</v>
      </c>
      <c r="G283" s="1">
        <f t="shared" si="5"/>
        <v>2000000.0000000002</v>
      </c>
      <c r="H283" s="1" t="e">
        <f t="shared" si="6"/>
        <v>#VALUE!</v>
      </c>
      <c r="I283" s="1">
        <v>4</v>
      </c>
      <c r="J283" s="1">
        <v>27</v>
      </c>
      <c r="L283" s="61" t="str">
        <f t="shared" si="7"/>
        <v>4 דירת 3 חדרי</v>
      </c>
      <c r="Q283" s="1" t="str">
        <f t="shared" si="8"/>
        <v>4 דירת 3 חדרים 2,000,000 27 80</v>
      </c>
    </row>
    <row r="284" spans="1:17" x14ac:dyDescent="0.25">
      <c r="A284" s="1" t="s">
        <v>12</v>
      </c>
      <c r="C284" s="1" t="str">
        <f t="shared" si="2"/>
        <v xml:space="preserve">₪ 25,171 </v>
      </c>
      <c r="E284" s="1" t="str">
        <f t="shared" si="3"/>
        <v>₪ 25,171 ₪ 3,680,000</v>
      </c>
      <c r="F284" s="1" t="str">
        <f t="shared" si="4"/>
        <v>3,680,000</v>
      </c>
      <c r="G284" s="1">
        <f t="shared" si="5"/>
        <v>3145299.1452991455</v>
      </c>
      <c r="H284" s="1" t="e">
        <f t="shared" si="6"/>
        <v>#VALUE!</v>
      </c>
      <c r="I284" s="1">
        <v>5</v>
      </c>
      <c r="J284" s="1">
        <v>27</v>
      </c>
      <c r="L284" s="61" t="str">
        <f t="shared" si="7"/>
        <v xml:space="preserve"> דירת 5 חדרים</v>
      </c>
      <c r="Q284" s="1" t="str">
        <f t="shared" si="8"/>
        <v xml:space="preserve"> דירת 5 חדרים 3,145,299 27 133</v>
      </c>
    </row>
    <row r="285" spans="1:17" x14ac:dyDescent="0.25">
      <c r="A285" s="1" t="s">
        <v>13</v>
      </c>
      <c r="C285" s="1" t="str">
        <f t="shared" si="2"/>
        <v xml:space="preserve">₪ 25,157 </v>
      </c>
      <c r="E285" s="1" t="str">
        <f t="shared" si="3"/>
        <v>₪ 25,157 ₪ 3,610,000</v>
      </c>
      <c r="F285" s="1" t="str">
        <f t="shared" si="4"/>
        <v>3,610,000</v>
      </c>
      <c r="G285" s="1">
        <f t="shared" si="5"/>
        <v>3085470.0854700855</v>
      </c>
      <c r="H285" s="1" t="e">
        <f t="shared" si="6"/>
        <v>#VALUE!</v>
      </c>
      <c r="I285" s="1">
        <v>6</v>
      </c>
      <c r="J285" s="1">
        <v>27</v>
      </c>
      <c r="L285" s="61" t="str">
        <f t="shared" si="7"/>
        <v xml:space="preserve"> דירת 5 חדרים</v>
      </c>
      <c r="Q285" s="1" t="str">
        <f t="shared" si="8"/>
        <v xml:space="preserve"> דירת 5 חדרים 3,085,470 27 130</v>
      </c>
    </row>
    <row r="286" spans="1:17" x14ac:dyDescent="0.25">
      <c r="A286" s="1" t="s">
        <v>14</v>
      </c>
      <c r="C286" s="1" t="str">
        <f t="shared" si="2"/>
        <v xml:space="preserve">₪ 25,241 </v>
      </c>
      <c r="E286" s="1" t="str">
        <f t="shared" si="3"/>
        <v>₪ 25,241 ₪ 2,360,000</v>
      </c>
      <c r="F286" s="1" t="str">
        <f t="shared" si="4"/>
        <v>2,360,000</v>
      </c>
      <c r="G286" s="1">
        <f t="shared" si="5"/>
        <v>2017094.0170940172</v>
      </c>
      <c r="H286" s="1" t="e">
        <f t="shared" si="6"/>
        <v>#VALUE!</v>
      </c>
      <c r="I286" s="1">
        <v>7</v>
      </c>
      <c r="J286" s="1">
        <v>27</v>
      </c>
      <c r="L286" s="61" t="str">
        <f t="shared" si="7"/>
        <v>7 דירת 3 חדרי</v>
      </c>
      <c r="Q286" s="1" t="str">
        <f t="shared" si="8"/>
        <v>7 דירת 3 חדרים 2,017,094 27 80</v>
      </c>
    </row>
    <row r="287" spans="1:17" x14ac:dyDescent="0.25">
      <c r="A287" s="1" t="s">
        <v>15</v>
      </c>
      <c r="C287" s="1" t="str">
        <f t="shared" si="2"/>
        <v xml:space="preserve">₪ 25,308 </v>
      </c>
      <c r="E287" s="1" t="str">
        <f t="shared" si="3"/>
        <v>₪ 25,308 ₪ 3,700,000</v>
      </c>
      <c r="F287" s="1" t="str">
        <f t="shared" si="4"/>
        <v>3,700,000</v>
      </c>
      <c r="G287" s="1">
        <f t="shared" si="5"/>
        <v>3162393.1623931625</v>
      </c>
      <c r="H287" s="1" t="e">
        <f t="shared" si="6"/>
        <v>#VALUE!</v>
      </c>
      <c r="I287" s="1">
        <v>8</v>
      </c>
      <c r="J287" s="1">
        <v>27</v>
      </c>
      <c r="L287" s="61" t="str">
        <f t="shared" si="7"/>
        <v xml:space="preserve"> דירת 5 חדרים</v>
      </c>
      <c r="Q287" s="1" t="str">
        <f t="shared" si="8"/>
        <v xml:space="preserve"> דירת 5 חדרים 3,162,393 27 133</v>
      </c>
    </row>
    <row r="288" spans="1:17" x14ac:dyDescent="0.25">
      <c r="A288" s="1" t="s">
        <v>16</v>
      </c>
      <c r="C288" s="1" t="str">
        <f t="shared" si="2"/>
        <v xml:space="preserve">₪ 25,296 </v>
      </c>
      <c r="E288" s="1" t="str">
        <f t="shared" si="3"/>
        <v>₪ 25,296 ₪ 3,630,000</v>
      </c>
      <c r="F288" s="1" t="str">
        <f t="shared" si="4"/>
        <v>3,630,000</v>
      </c>
      <c r="G288" s="1">
        <f t="shared" si="5"/>
        <v>3102564.102564103</v>
      </c>
      <c r="H288" s="1" t="e">
        <f t="shared" si="6"/>
        <v>#VALUE!</v>
      </c>
      <c r="I288" s="1">
        <v>9</v>
      </c>
      <c r="J288" s="1">
        <v>27</v>
      </c>
      <c r="L288" s="61" t="str">
        <f t="shared" si="7"/>
        <v xml:space="preserve"> דירת 5 חדרים</v>
      </c>
      <c r="Q288" s="1" t="str">
        <f t="shared" si="8"/>
        <v xml:space="preserve"> דירת 5 חדרים 3,102,564 27 130</v>
      </c>
    </row>
    <row r="289" spans="1:17" x14ac:dyDescent="0.25">
      <c r="A289" s="1" t="s">
        <v>17</v>
      </c>
      <c r="C289" s="1" t="str">
        <f t="shared" si="2"/>
        <v xml:space="preserve">₪ 25,455 </v>
      </c>
      <c r="E289" s="1" t="str">
        <f t="shared" si="3"/>
        <v>₪ 25,455 ₪ 2,380,000</v>
      </c>
      <c r="F289" s="1" t="str">
        <f t="shared" si="4"/>
        <v>2,380,000</v>
      </c>
      <c r="G289" s="1">
        <f t="shared" si="5"/>
        <v>2034188.0341880342</v>
      </c>
      <c r="H289" s="1" t="e">
        <f t="shared" si="6"/>
        <v>#VALUE!</v>
      </c>
      <c r="I289" s="1">
        <v>10</v>
      </c>
      <c r="J289" s="1">
        <v>27</v>
      </c>
      <c r="L289" s="61" t="str">
        <f t="shared" si="7"/>
        <v>0 דירת 3 חדרי</v>
      </c>
      <c r="Q289" s="1" t="str">
        <f t="shared" si="8"/>
        <v>0 דירת 3 חדרים 2,034,188 27 80</v>
      </c>
    </row>
    <row r="290" spans="1:17" x14ac:dyDescent="0.25">
      <c r="A290" s="1" t="s">
        <v>18</v>
      </c>
      <c r="C290" s="1" t="str">
        <f t="shared" si="2"/>
        <v xml:space="preserve">₪ 25,445 </v>
      </c>
      <c r="E290" s="1" t="str">
        <f t="shared" si="3"/>
        <v>₪ 25,445 ₪ 3,720,000</v>
      </c>
      <c r="F290" s="1" t="str">
        <f t="shared" si="4"/>
        <v>3,720,000</v>
      </c>
      <c r="G290" s="1">
        <f t="shared" si="5"/>
        <v>3179487.1794871795</v>
      </c>
      <c r="H290" s="1" t="e">
        <f t="shared" si="6"/>
        <v>#VALUE!</v>
      </c>
      <c r="I290" s="1">
        <v>11</v>
      </c>
      <c r="J290" s="1">
        <v>27</v>
      </c>
      <c r="L290" s="61" t="str">
        <f t="shared" si="7"/>
        <v xml:space="preserve"> דירת 5 חדרים</v>
      </c>
      <c r="Q290" s="1" t="str">
        <f t="shared" si="8"/>
        <v xml:space="preserve"> דירת 5 חדרים 3,179,487 27 133</v>
      </c>
    </row>
    <row r="291" spans="1:17" x14ac:dyDescent="0.25">
      <c r="A291" s="1" t="s">
        <v>19</v>
      </c>
      <c r="C291" s="1" t="str">
        <f t="shared" si="2"/>
        <v xml:space="preserve">₪ 25,436 </v>
      </c>
      <c r="E291" s="1" t="str">
        <f t="shared" si="3"/>
        <v>₪ 25,436 ₪ 3,650,000</v>
      </c>
      <c r="F291" s="1" t="str">
        <f t="shared" si="4"/>
        <v>3,650,000</v>
      </c>
      <c r="G291" s="1">
        <f t="shared" si="5"/>
        <v>3119658.11965812</v>
      </c>
      <c r="H291" s="1" t="e">
        <f t="shared" si="6"/>
        <v>#VALUE!</v>
      </c>
      <c r="I291" s="1">
        <v>12</v>
      </c>
      <c r="J291" s="1">
        <v>27</v>
      </c>
      <c r="L291" s="61" t="str">
        <f t="shared" si="7"/>
        <v xml:space="preserve"> דירת 5 חדרים</v>
      </c>
      <c r="Q291" s="1" t="str">
        <f t="shared" si="8"/>
        <v xml:space="preserve"> דירת 5 חדרים 3,119,658 27 130</v>
      </c>
    </row>
    <row r="292" spans="1:17" x14ac:dyDescent="0.25">
      <c r="A292" s="1" t="s">
        <v>20</v>
      </c>
      <c r="C292" s="1" t="str">
        <f t="shared" si="2"/>
        <v xml:space="preserve">₪ 25,668 </v>
      </c>
      <c r="E292" s="1" t="str">
        <f t="shared" si="3"/>
        <v>₪ 25,668 ₪ 2,400,000</v>
      </c>
      <c r="F292" s="1" t="str">
        <f t="shared" si="4"/>
        <v>2,400,000</v>
      </c>
      <c r="G292" s="1">
        <f t="shared" si="5"/>
        <v>2051282.0512820515</v>
      </c>
      <c r="H292" s="1" t="e">
        <f t="shared" si="6"/>
        <v>#VALUE!</v>
      </c>
      <c r="I292" s="1">
        <v>13</v>
      </c>
      <c r="J292" s="1">
        <v>27</v>
      </c>
      <c r="L292" s="61" t="str">
        <f t="shared" si="7"/>
        <v>3 דירת 3 חדרי</v>
      </c>
      <c r="Q292" s="1" t="str">
        <f t="shared" si="8"/>
        <v>3 דירת 3 חדרים 2,051,282 27 80</v>
      </c>
    </row>
    <row r="293" spans="1:17" x14ac:dyDescent="0.25">
      <c r="A293" s="1" t="s">
        <v>21</v>
      </c>
      <c r="C293" s="1" t="str">
        <f t="shared" si="2"/>
        <v xml:space="preserve">₪ 25,581 </v>
      </c>
      <c r="E293" s="1" t="str">
        <f t="shared" si="3"/>
        <v>₪ 25,581 ₪ 3,740,000</v>
      </c>
      <c r="F293" s="1" t="str">
        <f t="shared" si="4"/>
        <v>3,740,000</v>
      </c>
      <c r="G293" s="1">
        <f t="shared" si="5"/>
        <v>3196581.196581197</v>
      </c>
      <c r="H293" s="1" t="e">
        <f t="shared" si="6"/>
        <v>#VALUE!</v>
      </c>
      <c r="I293" s="1">
        <v>14</v>
      </c>
      <c r="J293" s="1">
        <v>27</v>
      </c>
      <c r="L293" s="61" t="str">
        <f t="shared" si="7"/>
        <v xml:space="preserve"> דירת 5 חדרים</v>
      </c>
      <c r="Q293" s="1" t="str">
        <f t="shared" si="8"/>
        <v xml:space="preserve"> דירת 5 חדרים 3,196,581 27 133</v>
      </c>
    </row>
    <row r="294" spans="1:17" x14ac:dyDescent="0.25">
      <c r="A294" s="1" t="s">
        <v>22</v>
      </c>
      <c r="C294" s="1" t="str">
        <f t="shared" si="2"/>
        <v xml:space="preserve">₪ 25,575 </v>
      </c>
      <c r="E294" s="1" t="str">
        <f t="shared" si="3"/>
        <v>₪ 25,575 ₪ 3,670,000</v>
      </c>
      <c r="F294" s="1" t="str">
        <f t="shared" si="4"/>
        <v>3,670,000</v>
      </c>
      <c r="G294" s="1">
        <f t="shared" si="5"/>
        <v>3136752.136752137</v>
      </c>
      <c r="H294" s="1" t="e">
        <f t="shared" si="6"/>
        <v>#VALUE!</v>
      </c>
      <c r="I294" s="1">
        <v>15</v>
      </c>
      <c r="J294" s="1">
        <v>27</v>
      </c>
      <c r="L294" s="61" t="str">
        <f t="shared" si="7"/>
        <v xml:space="preserve"> דירת 5 חדרים</v>
      </c>
      <c r="Q294" s="1" t="str">
        <f t="shared" si="8"/>
        <v xml:space="preserve"> דירת 5 חדרים 3,136,752 27 130</v>
      </c>
    </row>
    <row r="295" spans="1:17" x14ac:dyDescent="0.25">
      <c r="A295" s="1" t="s">
        <v>23</v>
      </c>
      <c r="C295" s="1" t="str">
        <f t="shared" si="2"/>
        <v xml:space="preserve">₪ 25,882 </v>
      </c>
      <c r="E295" s="1" t="str">
        <f t="shared" si="3"/>
        <v>₪ 25,882 ₪ 2,420,000</v>
      </c>
      <c r="F295" s="1" t="str">
        <f t="shared" si="4"/>
        <v>2,420,000</v>
      </c>
      <c r="G295" s="1">
        <f t="shared" si="5"/>
        <v>2068376.0683760685</v>
      </c>
      <c r="H295" s="1" t="e">
        <f t="shared" si="6"/>
        <v>#VALUE!</v>
      </c>
      <c r="I295" s="1">
        <v>16</v>
      </c>
      <c r="J295" s="1">
        <v>27</v>
      </c>
      <c r="L295" s="61" t="str">
        <f t="shared" si="7"/>
        <v>6 דירת 3 חדרי</v>
      </c>
      <c r="Q295" s="1" t="str">
        <f t="shared" si="8"/>
        <v>6 דירת 3 חדרים 2,068,376 27 80</v>
      </c>
    </row>
    <row r="296" spans="1:17" x14ac:dyDescent="0.25">
      <c r="A296" s="1" t="s">
        <v>24</v>
      </c>
      <c r="C296" s="1" t="str">
        <f t="shared" si="2"/>
        <v xml:space="preserve">₪ 25,718 </v>
      </c>
      <c r="E296" s="1" t="str">
        <f t="shared" si="3"/>
        <v>₪ 25,718 ₪ 3,760,000</v>
      </c>
      <c r="F296" s="1" t="str">
        <f t="shared" si="4"/>
        <v>3,760,000</v>
      </c>
      <c r="G296" s="1">
        <f t="shared" si="5"/>
        <v>3213675.213675214</v>
      </c>
      <c r="H296" s="1" t="e">
        <f t="shared" si="6"/>
        <v>#VALUE!</v>
      </c>
      <c r="I296" s="1">
        <v>17</v>
      </c>
      <c r="J296" s="1">
        <v>27</v>
      </c>
      <c r="L296" s="61" t="str">
        <f t="shared" si="7"/>
        <v xml:space="preserve"> דירת 5 חדרים</v>
      </c>
      <c r="Q296" s="1" t="str">
        <f t="shared" si="8"/>
        <v xml:space="preserve"> דירת 5 חדרים 3,213,675 27 133</v>
      </c>
    </row>
    <row r="297" spans="1:17" x14ac:dyDescent="0.25">
      <c r="A297" s="1" t="s">
        <v>25</v>
      </c>
      <c r="C297" s="1" t="str">
        <f t="shared" si="2"/>
        <v xml:space="preserve">₪ 25,714 </v>
      </c>
      <c r="E297" s="1" t="str">
        <f t="shared" si="3"/>
        <v>₪ 25,714 ₪ 3,690,000</v>
      </c>
      <c r="F297" s="1" t="str">
        <f t="shared" si="4"/>
        <v>3,690,000</v>
      </c>
      <c r="G297" s="1">
        <f t="shared" si="5"/>
        <v>3153846.153846154</v>
      </c>
      <c r="H297" s="1" t="e">
        <f t="shared" si="6"/>
        <v>#VALUE!</v>
      </c>
      <c r="I297" s="1">
        <v>18</v>
      </c>
      <c r="J297" s="1">
        <v>27</v>
      </c>
      <c r="L297" s="61" t="str">
        <f t="shared" si="7"/>
        <v xml:space="preserve"> דירת 5 חדרים</v>
      </c>
      <c r="Q297" s="1" t="str">
        <f t="shared" si="8"/>
        <v xml:space="preserve"> דירת 5 חדרים 3,153,846 27 130</v>
      </c>
    </row>
    <row r="298" spans="1:17" x14ac:dyDescent="0.25">
      <c r="A298" s="1" t="s">
        <v>26</v>
      </c>
      <c r="C298" s="1" t="str">
        <f t="shared" si="2"/>
        <v xml:space="preserve">₪ 25,796 </v>
      </c>
      <c r="E298" s="1" t="str">
        <f t="shared" si="3"/>
        <v>₪ 25,796 ₪ 3,160,000</v>
      </c>
      <c r="F298" s="1" t="str">
        <f t="shared" si="4"/>
        <v>3,160,000</v>
      </c>
      <c r="G298" s="1">
        <f t="shared" si="5"/>
        <v>2700854.700854701</v>
      </c>
      <c r="H298" s="1" t="e">
        <f t="shared" si="6"/>
        <v>#VALUE!</v>
      </c>
      <c r="I298" s="1">
        <v>19</v>
      </c>
      <c r="J298" s="1">
        <v>27</v>
      </c>
      <c r="L298" s="61" t="str">
        <f t="shared" si="7"/>
        <v xml:space="preserve"> דירת 5 חדרים</v>
      </c>
      <c r="Q298" s="1" t="str">
        <f t="shared" si="8"/>
        <v xml:space="preserve"> דירת 5 חדרים 2,700,855 27 109</v>
      </c>
    </row>
    <row r="299" spans="1:17" x14ac:dyDescent="0.25">
      <c r="A299" s="1" t="s">
        <v>27</v>
      </c>
      <c r="C299" s="1" t="str">
        <f t="shared" si="2"/>
        <v xml:space="preserve">₪ 25,855 </v>
      </c>
      <c r="E299" s="1" t="str">
        <f t="shared" si="3"/>
        <v>₪ 25,855 ₪ 3,780,000</v>
      </c>
      <c r="F299" s="1" t="str">
        <f t="shared" si="4"/>
        <v>3,780,000</v>
      </c>
      <c r="G299" s="1">
        <f t="shared" si="5"/>
        <v>3230769.230769231</v>
      </c>
      <c r="H299" s="1" t="e">
        <f t="shared" si="6"/>
        <v>#VALUE!</v>
      </c>
      <c r="I299" s="1">
        <v>20</v>
      </c>
      <c r="J299" s="1">
        <v>27</v>
      </c>
      <c r="L299" s="61" t="str">
        <f t="shared" si="7"/>
        <v xml:space="preserve"> דירת 5 חדרים</v>
      </c>
      <c r="Q299" s="1" t="str">
        <f t="shared" si="8"/>
        <v xml:space="preserve"> דירת 5 חדרים 3,230,769 27 133</v>
      </c>
    </row>
    <row r="300" spans="1:17" x14ac:dyDescent="0.25">
      <c r="A300" s="1" t="s">
        <v>28</v>
      </c>
      <c r="C300" s="1" t="str">
        <f t="shared" si="2"/>
        <v xml:space="preserve">₪ 25,854 </v>
      </c>
      <c r="E300" s="1" t="str">
        <f t="shared" si="3"/>
        <v>₪ 25,854 ₪ 3,710,000</v>
      </c>
      <c r="F300" s="1" t="str">
        <f t="shared" si="4"/>
        <v>3,710,000</v>
      </c>
      <c r="G300" s="1">
        <f t="shared" si="5"/>
        <v>3170940.170940171</v>
      </c>
      <c r="H300" s="1" t="e">
        <f t="shared" si="6"/>
        <v>#VALUE!</v>
      </c>
      <c r="I300" s="1">
        <v>21</v>
      </c>
      <c r="J300" s="1">
        <v>27</v>
      </c>
      <c r="L300" s="61" t="str">
        <f t="shared" si="7"/>
        <v xml:space="preserve"> דירת 5 חדרים</v>
      </c>
      <c r="Q300" s="1" t="str">
        <f t="shared" si="8"/>
        <v xml:space="preserve"> דירת 5 חדרים 3,170,940 27 130</v>
      </c>
    </row>
    <row r="301" spans="1:17" x14ac:dyDescent="0.25">
      <c r="A301" s="1" t="s">
        <v>29</v>
      </c>
      <c r="C301" s="1" t="str">
        <f t="shared" si="2"/>
        <v xml:space="preserve">₪ 25,959 </v>
      </c>
      <c r="E301" s="1" t="str">
        <f t="shared" si="3"/>
        <v>₪ 25,959 ₪ 3,180,000</v>
      </c>
      <c r="F301" s="1" t="str">
        <f t="shared" si="4"/>
        <v>3,180,000</v>
      </c>
      <c r="G301" s="1">
        <f t="shared" si="5"/>
        <v>2717948.717948718</v>
      </c>
      <c r="H301" s="1" t="e">
        <f t="shared" si="6"/>
        <v>#VALUE!</v>
      </c>
      <c r="I301" s="1">
        <v>22</v>
      </c>
      <c r="J301" s="1">
        <v>27</v>
      </c>
      <c r="L301" s="61" t="str">
        <f t="shared" si="7"/>
        <v xml:space="preserve"> דירת 5 חדרים</v>
      </c>
      <c r="Q301" s="1" t="str">
        <f t="shared" si="8"/>
        <v xml:space="preserve"> דירת 5 חדרים 2,717,949 27 109</v>
      </c>
    </row>
    <row r="302" spans="1:17" x14ac:dyDescent="0.25">
      <c r="A302" s="1" t="s">
        <v>30</v>
      </c>
      <c r="C302" s="1" t="str">
        <f t="shared" si="2"/>
        <v xml:space="preserve">₪ 27,895 </v>
      </c>
      <c r="E302" s="1" t="str">
        <f t="shared" si="3"/>
        <v>₪ 27,895 ₪ 4,240,000</v>
      </c>
      <c r="F302" s="1" t="str">
        <f t="shared" si="4"/>
        <v>4,240,000</v>
      </c>
      <c r="G302" s="1">
        <f t="shared" si="5"/>
        <v>3623931.623931624</v>
      </c>
      <c r="H302" s="1" t="e">
        <f t="shared" ref="H302:H305" si="9">F302/C302</f>
        <v>#VALUE!</v>
      </c>
      <c r="I302" s="1">
        <v>23</v>
      </c>
      <c r="K302" s="1">
        <v>40</v>
      </c>
      <c r="L302" s="61" t="str">
        <f t="shared" si="7"/>
        <v>טהאוז 6 חדרים</v>
      </c>
      <c r="Q302" s="1" t="str">
        <f t="shared" si="8"/>
        <v>טהאוז 6 חדרים 3,623,932 40 152</v>
      </c>
    </row>
    <row r="303" spans="1:17" x14ac:dyDescent="0.25">
      <c r="A303" s="1" t="s">
        <v>31</v>
      </c>
      <c r="C303" s="1" t="str">
        <f t="shared" si="2"/>
        <v xml:space="preserve">₪ 27,895 </v>
      </c>
      <c r="E303" s="1" t="str">
        <f t="shared" si="3"/>
        <v>₪ 27,895 ₪ 4,240,000</v>
      </c>
      <c r="F303" s="1" t="str">
        <f t="shared" si="4"/>
        <v>4,240,000</v>
      </c>
      <c r="G303" s="1">
        <f t="shared" si="5"/>
        <v>3623931.623931624</v>
      </c>
      <c r="H303" s="1" t="e">
        <f t="shared" si="9"/>
        <v>#VALUE!</v>
      </c>
      <c r="I303" s="1">
        <v>24</v>
      </c>
      <c r="K303" s="1">
        <v>40</v>
      </c>
      <c r="L303" s="61" t="str">
        <f t="shared" si="7"/>
        <v>טהאוז 6 חדרים</v>
      </c>
      <c r="Q303" s="1" t="str">
        <f t="shared" si="8"/>
        <v>טהאוז 6 חדרים 3,623,932 40 152</v>
      </c>
    </row>
    <row r="304" spans="1:17" x14ac:dyDescent="0.25">
      <c r="A304" s="1" t="s">
        <v>32</v>
      </c>
      <c r="C304" s="1" t="str">
        <f t="shared" si="2"/>
        <v xml:space="preserve">₪ 27,861 </v>
      </c>
      <c r="E304" s="1" t="str">
        <f t="shared" si="3"/>
        <v>₪ 27,861 ₪ 5,210,000</v>
      </c>
      <c r="F304" s="1" t="str">
        <f t="shared" si="4"/>
        <v>5,210,000</v>
      </c>
      <c r="G304" s="1">
        <f t="shared" si="5"/>
        <v>4452991.452991453</v>
      </c>
      <c r="H304" s="1" t="e">
        <f t="shared" si="9"/>
        <v>#VALUE!</v>
      </c>
      <c r="I304" s="1">
        <v>25</v>
      </c>
      <c r="K304" s="1">
        <v>70</v>
      </c>
      <c r="L304" s="61" t="str">
        <f t="shared" si="7"/>
        <v>ופלקס 5 חדרים</v>
      </c>
      <c r="Q304" s="1" t="str">
        <f t="shared" si="8"/>
        <v>ופלקס 5 חדרים 4,452,991 70 187</v>
      </c>
    </row>
    <row r="305" spans="1:17" x14ac:dyDescent="0.25">
      <c r="A305" s="1" t="s">
        <v>33</v>
      </c>
      <c r="C305" s="1" t="str">
        <f t="shared" si="2"/>
        <v xml:space="preserve">₪ 27,861 </v>
      </c>
      <c r="E305" s="1" t="str">
        <f t="shared" si="3"/>
        <v>₪ 27,861 ₪ 5,210,000</v>
      </c>
      <c r="F305" s="1" t="str">
        <f t="shared" si="4"/>
        <v>5,210,000</v>
      </c>
      <c r="G305" s="1">
        <f t="shared" si="5"/>
        <v>4452991.452991453</v>
      </c>
      <c r="H305" s="1" t="e">
        <f t="shared" si="9"/>
        <v>#VALUE!</v>
      </c>
      <c r="I305" s="1">
        <v>26</v>
      </c>
      <c r="K305" s="1">
        <v>70</v>
      </c>
      <c r="L305" s="61" t="str">
        <f t="shared" si="7"/>
        <v>ופלקס 5 חדרים</v>
      </c>
      <c r="Q305" s="1" t="str">
        <f t="shared" si="8"/>
        <v>ופלקס 5 חדרים 4,452,991 70 187</v>
      </c>
    </row>
    <row r="309" spans="1:17" ht="13" x14ac:dyDescent="0.3">
      <c r="A309" s="63" t="s">
        <v>59</v>
      </c>
    </row>
    <row r="312" spans="1:17" x14ac:dyDescent="0.25">
      <c r="A312" s="1" t="s">
        <v>38</v>
      </c>
      <c r="C312" s="1" t="str">
        <f>LEFT(A312,9)</f>
        <v xml:space="preserve">₪ 30,721 </v>
      </c>
      <c r="E312" s="1" t="str">
        <f t="shared" ref="E312" si="10">LEFT(A312,20)</f>
        <v>₪ 30,721 ₪ 3,920,000</v>
      </c>
      <c r="F312" s="1" t="str">
        <f t="shared" ref="F312:F336" si="11">RIGHT(E312,9)</f>
        <v>3,920,000</v>
      </c>
      <c r="G312" s="1">
        <f>F312/1.17</f>
        <v>3350427.3504273505</v>
      </c>
      <c r="H312" s="1" t="e">
        <f>F312/C312</f>
        <v>#VALUE!</v>
      </c>
      <c r="I312" s="1">
        <v>1</v>
      </c>
      <c r="K312" s="1">
        <v>100</v>
      </c>
      <c r="L312" s="61" t="str">
        <f>LEFT(Q312,20)</f>
        <v>דירת גן 5 חדרים קרקע</v>
      </c>
      <c r="Q312" s="1" t="str">
        <f>RIGHT(A312,38)</f>
        <v>דירת גן 5 חדרים קרקע 3,350,427 100 128</v>
      </c>
    </row>
    <row r="313" spans="1:17" x14ac:dyDescent="0.25">
      <c r="A313" s="1" t="s">
        <v>39</v>
      </c>
      <c r="C313" s="1" t="str">
        <f t="shared" ref="C313:C336" si="12">LEFT(A313,9)</f>
        <v xml:space="preserve">₪ 25,018 </v>
      </c>
      <c r="E313" s="1" t="str">
        <f t="shared" ref="E313:E336" si="13">LEFT(A313,20)</f>
        <v>₪ 25,018 ₪ 3,530,000</v>
      </c>
      <c r="F313" s="1" t="str">
        <f t="shared" si="11"/>
        <v>3,530,000</v>
      </c>
      <c r="G313" s="1">
        <f t="shared" ref="G313:G336" si="14">F313/1.17</f>
        <v>3017094.0170940175</v>
      </c>
      <c r="H313" s="1" t="e">
        <f>F313/C313-13</f>
        <v>#VALUE!</v>
      </c>
      <c r="I313" s="1">
        <v>2</v>
      </c>
      <c r="J313" s="1">
        <v>27</v>
      </c>
      <c r="L313" s="61" t="str">
        <f>LEFT(Q313,13)</f>
        <v xml:space="preserve"> דירת 5 חדרים</v>
      </c>
      <c r="Q313" s="1" t="str">
        <f>RIGHT(A313,30)</f>
        <v xml:space="preserve"> דירת 5 חדרים 3,017,094 27 128</v>
      </c>
    </row>
    <row r="314" spans="1:17" x14ac:dyDescent="0.25">
      <c r="A314" s="1" t="s">
        <v>40</v>
      </c>
      <c r="C314" s="1" t="str">
        <f t="shared" si="12"/>
        <v xml:space="preserve">₪ 25,018 </v>
      </c>
      <c r="E314" s="1" t="str">
        <f t="shared" si="13"/>
        <v>₪ 25,018 ₪ 3,530,000</v>
      </c>
      <c r="F314" s="1" t="str">
        <f t="shared" si="11"/>
        <v>3,530,000</v>
      </c>
      <c r="G314" s="1">
        <f t="shared" si="14"/>
        <v>3017094.0170940175</v>
      </c>
      <c r="H314" s="1" t="e">
        <f t="shared" ref="H314:H333" si="15">F314/C314-13</f>
        <v>#VALUE!</v>
      </c>
      <c r="I314" s="1">
        <v>3</v>
      </c>
      <c r="J314" s="1">
        <v>27</v>
      </c>
      <c r="L314" s="61" t="str">
        <f t="shared" ref="L314:L336" si="16">LEFT(Q314,13)</f>
        <v xml:space="preserve"> דירת 5 חדרים</v>
      </c>
      <c r="Q314" s="1" t="str">
        <f t="shared" ref="Q314:Q336" si="17">RIGHT(A314,30)</f>
        <v xml:space="preserve"> דירת 5 חדרים 3,017,094 27 128</v>
      </c>
    </row>
    <row r="315" spans="1:17" x14ac:dyDescent="0.25">
      <c r="A315" s="1" t="s">
        <v>11</v>
      </c>
      <c r="C315" s="1" t="str">
        <f t="shared" si="12"/>
        <v xml:space="preserve">₪ 25,027 </v>
      </c>
      <c r="E315" s="1" t="str">
        <f t="shared" si="13"/>
        <v>₪ 25,027 ₪ 2,340,000</v>
      </c>
      <c r="F315" s="1" t="str">
        <f t="shared" si="11"/>
        <v>2,340,000</v>
      </c>
      <c r="G315" s="1">
        <f t="shared" si="14"/>
        <v>2000000.0000000002</v>
      </c>
      <c r="H315" s="1" t="e">
        <f t="shared" si="15"/>
        <v>#VALUE!</v>
      </c>
      <c r="I315" s="1">
        <v>4</v>
      </c>
      <c r="J315" s="1">
        <v>27</v>
      </c>
      <c r="L315" s="61" t="str">
        <f t="shared" si="16"/>
        <v>4 דירת 3 חדרי</v>
      </c>
      <c r="Q315" s="1" t="str">
        <f t="shared" si="17"/>
        <v>4 דירת 3 חדרים 2,000,000 27 80</v>
      </c>
    </row>
    <row r="316" spans="1:17" x14ac:dyDescent="0.25">
      <c r="A316" s="1" t="s">
        <v>41</v>
      </c>
      <c r="C316" s="1" t="str">
        <f t="shared" si="12"/>
        <v xml:space="preserve">₪ 25,159 </v>
      </c>
      <c r="E316" s="1" t="str">
        <f t="shared" si="13"/>
        <v>₪ 25,159 ₪ 3,550,000</v>
      </c>
      <c r="F316" s="1" t="str">
        <f t="shared" si="11"/>
        <v>3,550,000</v>
      </c>
      <c r="G316" s="1">
        <f t="shared" si="14"/>
        <v>3034188.0341880345</v>
      </c>
      <c r="H316" s="1" t="e">
        <f t="shared" si="15"/>
        <v>#VALUE!</v>
      </c>
      <c r="I316" s="1">
        <v>5</v>
      </c>
      <c r="J316" s="1">
        <v>27</v>
      </c>
      <c r="L316" s="61" t="str">
        <f t="shared" si="16"/>
        <v xml:space="preserve"> דירת 5 חדרים</v>
      </c>
      <c r="Q316" s="1" t="str">
        <f t="shared" si="17"/>
        <v xml:space="preserve"> דירת 5 חדרים 3,034,188 27 128</v>
      </c>
    </row>
    <row r="317" spans="1:17" x14ac:dyDescent="0.25">
      <c r="A317" s="1" t="s">
        <v>42</v>
      </c>
      <c r="C317" s="1" t="str">
        <f t="shared" si="12"/>
        <v xml:space="preserve">₪ 25,159 </v>
      </c>
      <c r="E317" s="1" t="str">
        <f t="shared" si="13"/>
        <v>₪ 25,159 ₪ 3,550,000</v>
      </c>
      <c r="F317" s="1" t="str">
        <f t="shared" si="11"/>
        <v>3,550,000</v>
      </c>
      <c r="G317" s="1">
        <f t="shared" si="14"/>
        <v>3034188.0341880345</v>
      </c>
      <c r="H317" s="1" t="e">
        <f t="shared" si="15"/>
        <v>#VALUE!</v>
      </c>
      <c r="I317" s="1">
        <v>6</v>
      </c>
      <c r="J317" s="1">
        <v>27</v>
      </c>
      <c r="L317" s="61" t="str">
        <f t="shared" si="16"/>
        <v xml:space="preserve"> דירת 5 חדרים</v>
      </c>
      <c r="Q317" s="1" t="str">
        <f t="shared" si="17"/>
        <v xml:space="preserve"> דירת 5 חדרים 3,034,188 27 128</v>
      </c>
    </row>
    <row r="318" spans="1:17" x14ac:dyDescent="0.25">
      <c r="A318" s="1" t="s">
        <v>14</v>
      </c>
      <c r="C318" s="1" t="str">
        <f t="shared" si="12"/>
        <v xml:space="preserve">₪ 25,241 </v>
      </c>
      <c r="E318" s="1" t="str">
        <f t="shared" si="13"/>
        <v>₪ 25,241 ₪ 2,360,000</v>
      </c>
      <c r="F318" s="1" t="str">
        <f t="shared" si="11"/>
        <v>2,360,000</v>
      </c>
      <c r="G318" s="1">
        <f t="shared" si="14"/>
        <v>2017094.0170940172</v>
      </c>
      <c r="H318" s="1" t="e">
        <f t="shared" si="15"/>
        <v>#VALUE!</v>
      </c>
      <c r="I318" s="1">
        <v>7</v>
      </c>
      <c r="J318" s="1">
        <v>27</v>
      </c>
      <c r="L318" s="61" t="str">
        <f t="shared" si="16"/>
        <v>7 דירת 3 חדרי</v>
      </c>
      <c r="Q318" s="1" t="str">
        <f t="shared" si="17"/>
        <v>7 דירת 3 חדרים 2,017,094 27 80</v>
      </c>
    </row>
    <row r="319" spans="1:17" x14ac:dyDescent="0.25">
      <c r="A319" s="1" t="s">
        <v>43</v>
      </c>
      <c r="C319" s="1" t="str">
        <f t="shared" si="12"/>
        <v xml:space="preserve">₪ 25,301 </v>
      </c>
      <c r="E319" s="1" t="str">
        <f t="shared" si="13"/>
        <v>₪ 25,301 ₪ 3,570,000</v>
      </c>
      <c r="F319" s="1" t="str">
        <f t="shared" si="11"/>
        <v>3,570,000</v>
      </c>
      <c r="G319" s="1">
        <f t="shared" si="14"/>
        <v>3051282.0512820515</v>
      </c>
      <c r="H319" s="1" t="e">
        <f t="shared" si="15"/>
        <v>#VALUE!</v>
      </c>
      <c r="I319" s="1">
        <v>8</v>
      </c>
      <c r="J319" s="1">
        <v>27</v>
      </c>
      <c r="L319" s="61" t="str">
        <f t="shared" si="16"/>
        <v xml:space="preserve"> דירת 5 חדרים</v>
      </c>
      <c r="Q319" s="1" t="str">
        <f t="shared" si="17"/>
        <v xml:space="preserve"> דירת 5 חדרים 3,051,282 27 128</v>
      </c>
    </row>
    <row r="320" spans="1:17" x14ac:dyDescent="0.25">
      <c r="A320" s="1" t="s">
        <v>44</v>
      </c>
      <c r="C320" s="1" t="str">
        <f t="shared" si="12"/>
        <v xml:space="preserve">₪ 25,301 </v>
      </c>
      <c r="E320" s="1" t="str">
        <f t="shared" si="13"/>
        <v>₪ 25,301 ₪ 3,570,000</v>
      </c>
      <c r="F320" s="1" t="str">
        <f t="shared" si="11"/>
        <v>3,570,000</v>
      </c>
      <c r="G320" s="1">
        <f t="shared" si="14"/>
        <v>3051282.0512820515</v>
      </c>
      <c r="H320" s="1" t="e">
        <f t="shared" si="15"/>
        <v>#VALUE!</v>
      </c>
      <c r="I320" s="1">
        <v>9</v>
      </c>
      <c r="J320" s="1">
        <v>27</v>
      </c>
      <c r="L320" s="61" t="str">
        <f t="shared" si="16"/>
        <v xml:space="preserve"> דירת 5 חדרים</v>
      </c>
      <c r="Q320" s="1" t="str">
        <f t="shared" si="17"/>
        <v xml:space="preserve"> דירת 5 חדרים 3,051,282 27 128</v>
      </c>
    </row>
    <row r="321" spans="1:17" x14ac:dyDescent="0.25">
      <c r="A321" s="1" t="s">
        <v>17</v>
      </c>
      <c r="C321" s="1" t="str">
        <f t="shared" si="12"/>
        <v xml:space="preserve">₪ 25,455 </v>
      </c>
      <c r="E321" s="1" t="str">
        <f t="shared" si="13"/>
        <v>₪ 25,455 ₪ 2,380,000</v>
      </c>
      <c r="F321" s="1" t="str">
        <f t="shared" si="11"/>
        <v>2,380,000</v>
      </c>
      <c r="G321" s="1">
        <f t="shared" si="14"/>
        <v>2034188.0341880342</v>
      </c>
      <c r="H321" s="1" t="e">
        <f t="shared" si="15"/>
        <v>#VALUE!</v>
      </c>
      <c r="I321" s="1">
        <v>10</v>
      </c>
      <c r="J321" s="1">
        <v>27</v>
      </c>
      <c r="L321" s="61" t="str">
        <f t="shared" si="16"/>
        <v>0 דירת 3 חדרי</v>
      </c>
      <c r="Q321" s="1" t="str">
        <f t="shared" si="17"/>
        <v>0 דירת 3 חדרים 2,034,188 27 80</v>
      </c>
    </row>
    <row r="322" spans="1:17" x14ac:dyDescent="0.25">
      <c r="A322" s="1" t="s">
        <v>45</v>
      </c>
      <c r="C322" s="1" t="str">
        <f t="shared" si="12"/>
        <v xml:space="preserve">₪ 25,443 </v>
      </c>
      <c r="E322" s="1" t="str">
        <f t="shared" si="13"/>
        <v>₪ 25,443 ₪ 3,590,000</v>
      </c>
      <c r="F322" s="1" t="str">
        <f t="shared" si="11"/>
        <v>3,590,000</v>
      </c>
      <c r="G322" s="1">
        <f t="shared" si="14"/>
        <v>3068376.0683760685</v>
      </c>
      <c r="H322" s="1" t="e">
        <f t="shared" si="15"/>
        <v>#VALUE!</v>
      </c>
      <c r="I322" s="1">
        <v>11</v>
      </c>
      <c r="J322" s="1">
        <v>27</v>
      </c>
      <c r="L322" s="61" t="str">
        <f t="shared" si="16"/>
        <v xml:space="preserve"> דירת 5 חדרים</v>
      </c>
      <c r="Q322" s="1" t="str">
        <f t="shared" si="17"/>
        <v xml:space="preserve"> דירת 5 חדרים 3,068,376 27 128</v>
      </c>
    </row>
    <row r="323" spans="1:17" x14ac:dyDescent="0.25">
      <c r="A323" s="1" t="s">
        <v>46</v>
      </c>
      <c r="C323" s="1" t="str">
        <f t="shared" si="12"/>
        <v xml:space="preserve">₪ 25,443 </v>
      </c>
      <c r="E323" s="1" t="str">
        <f t="shared" si="13"/>
        <v>₪ 25,443 ₪ 3,590,000</v>
      </c>
      <c r="F323" s="1" t="str">
        <f t="shared" si="11"/>
        <v>3,590,000</v>
      </c>
      <c r="G323" s="1">
        <f t="shared" si="14"/>
        <v>3068376.0683760685</v>
      </c>
      <c r="H323" s="1" t="e">
        <f t="shared" si="15"/>
        <v>#VALUE!</v>
      </c>
      <c r="I323" s="1">
        <v>12</v>
      </c>
      <c r="J323" s="1">
        <v>27</v>
      </c>
      <c r="L323" s="61" t="str">
        <f t="shared" si="16"/>
        <v xml:space="preserve"> דירת 5 חדרים</v>
      </c>
      <c r="Q323" s="1" t="str">
        <f t="shared" si="17"/>
        <v xml:space="preserve"> דירת 5 חדרים 3,068,376 27 128</v>
      </c>
    </row>
    <row r="324" spans="1:17" x14ac:dyDescent="0.25">
      <c r="A324" s="1" t="s">
        <v>20</v>
      </c>
      <c r="C324" s="1" t="str">
        <f t="shared" si="12"/>
        <v xml:space="preserve">₪ 25,668 </v>
      </c>
      <c r="E324" s="1" t="str">
        <f t="shared" si="13"/>
        <v>₪ 25,668 ₪ 2,400,000</v>
      </c>
      <c r="F324" s="1" t="str">
        <f t="shared" si="11"/>
        <v>2,400,000</v>
      </c>
      <c r="G324" s="1">
        <f t="shared" si="14"/>
        <v>2051282.0512820515</v>
      </c>
      <c r="H324" s="1" t="e">
        <f t="shared" si="15"/>
        <v>#VALUE!</v>
      </c>
      <c r="I324" s="1">
        <v>13</v>
      </c>
      <c r="J324" s="1">
        <v>27</v>
      </c>
      <c r="L324" s="61" t="str">
        <f t="shared" si="16"/>
        <v>3 דירת 3 חדרי</v>
      </c>
      <c r="Q324" s="1" t="str">
        <f t="shared" si="17"/>
        <v>3 דירת 3 חדרים 2,051,282 27 80</v>
      </c>
    </row>
    <row r="325" spans="1:17" x14ac:dyDescent="0.25">
      <c r="A325" s="1" t="s">
        <v>47</v>
      </c>
      <c r="C325" s="1" t="str">
        <f t="shared" si="12"/>
        <v xml:space="preserve">₪ 25,585 </v>
      </c>
      <c r="E325" s="1" t="str">
        <f t="shared" si="13"/>
        <v>₪ 25,585 ₪ 3,610,000</v>
      </c>
      <c r="F325" s="1" t="str">
        <f t="shared" si="11"/>
        <v>3,610,000</v>
      </c>
      <c r="G325" s="1">
        <f t="shared" si="14"/>
        <v>3085470.0854700855</v>
      </c>
      <c r="H325" s="1" t="e">
        <f t="shared" si="15"/>
        <v>#VALUE!</v>
      </c>
      <c r="I325" s="1">
        <v>14</v>
      </c>
      <c r="J325" s="1">
        <v>27</v>
      </c>
      <c r="L325" s="61" t="str">
        <f t="shared" si="16"/>
        <v xml:space="preserve"> דירת 5 חדרים</v>
      </c>
      <c r="Q325" s="1" t="str">
        <f t="shared" si="17"/>
        <v xml:space="preserve"> דירת 5 חדרים 3,085,470 27 128</v>
      </c>
    </row>
    <row r="326" spans="1:17" x14ac:dyDescent="0.25">
      <c r="A326" s="1" t="s">
        <v>48</v>
      </c>
      <c r="C326" s="1" t="str">
        <f t="shared" si="12"/>
        <v xml:space="preserve">₪ 25,585 </v>
      </c>
      <c r="E326" s="1" t="str">
        <f t="shared" si="13"/>
        <v>₪ 25,585 ₪ 3,610,000</v>
      </c>
      <c r="F326" s="1" t="str">
        <f t="shared" si="11"/>
        <v>3,610,000</v>
      </c>
      <c r="G326" s="1">
        <f t="shared" si="14"/>
        <v>3085470.0854700855</v>
      </c>
      <c r="H326" s="1" t="e">
        <f t="shared" si="15"/>
        <v>#VALUE!</v>
      </c>
      <c r="I326" s="1">
        <v>15</v>
      </c>
      <c r="J326" s="1">
        <v>27</v>
      </c>
      <c r="L326" s="61" t="str">
        <f t="shared" si="16"/>
        <v xml:space="preserve"> דירת 5 חדרים</v>
      </c>
      <c r="Q326" s="1" t="str">
        <f t="shared" si="17"/>
        <v xml:space="preserve"> דירת 5 חדרים 3,085,470 27 128</v>
      </c>
    </row>
    <row r="327" spans="1:17" x14ac:dyDescent="0.25">
      <c r="A327" s="1" t="s">
        <v>23</v>
      </c>
      <c r="C327" s="1" t="str">
        <f t="shared" si="12"/>
        <v xml:space="preserve">₪ 25,882 </v>
      </c>
      <c r="E327" s="1" t="str">
        <f t="shared" si="13"/>
        <v>₪ 25,882 ₪ 2,420,000</v>
      </c>
      <c r="F327" s="1" t="str">
        <f t="shared" si="11"/>
        <v>2,420,000</v>
      </c>
      <c r="G327" s="1">
        <f t="shared" si="14"/>
        <v>2068376.0683760685</v>
      </c>
      <c r="H327" s="1" t="e">
        <f t="shared" si="15"/>
        <v>#VALUE!</v>
      </c>
      <c r="I327" s="1">
        <v>16</v>
      </c>
      <c r="J327" s="1">
        <v>27</v>
      </c>
      <c r="L327" s="61" t="str">
        <f t="shared" si="16"/>
        <v>6 דירת 3 חדרי</v>
      </c>
      <c r="Q327" s="1" t="str">
        <f t="shared" si="17"/>
        <v>6 דירת 3 חדרים 2,068,376 27 80</v>
      </c>
    </row>
    <row r="328" spans="1:17" x14ac:dyDescent="0.25">
      <c r="A328" s="1" t="s">
        <v>49</v>
      </c>
      <c r="C328" s="1" t="str">
        <f t="shared" si="12"/>
        <v xml:space="preserve">₪ 25,726 </v>
      </c>
      <c r="E328" s="1" t="str">
        <f t="shared" si="13"/>
        <v>₪ 25,726 ₪ 3,630,000</v>
      </c>
      <c r="F328" s="1" t="str">
        <f t="shared" si="11"/>
        <v>3,630,000</v>
      </c>
      <c r="G328" s="1">
        <f t="shared" si="14"/>
        <v>3102564.102564103</v>
      </c>
      <c r="H328" s="1" t="e">
        <f t="shared" si="15"/>
        <v>#VALUE!</v>
      </c>
      <c r="I328" s="1">
        <v>17</v>
      </c>
      <c r="J328" s="1">
        <v>27</v>
      </c>
      <c r="L328" s="61" t="str">
        <f t="shared" si="16"/>
        <v xml:space="preserve"> דירת 5 חדרים</v>
      </c>
      <c r="Q328" s="1" t="str">
        <f t="shared" si="17"/>
        <v xml:space="preserve"> דירת 5 חדרים 3,102,564 27 128</v>
      </c>
    </row>
    <row r="329" spans="1:17" x14ac:dyDescent="0.25">
      <c r="A329" s="1" t="s">
        <v>50</v>
      </c>
      <c r="C329" s="1" t="str">
        <f t="shared" si="12"/>
        <v xml:space="preserve">₪ 25,726 </v>
      </c>
      <c r="E329" s="1" t="str">
        <f t="shared" si="13"/>
        <v>₪ 25,726 ₪ 3,630,000</v>
      </c>
      <c r="F329" s="1" t="str">
        <f t="shared" si="11"/>
        <v>3,630,000</v>
      </c>
      <c r="G329" s="1">
        <f t="shared" si="14"/>
        <v>3102564.102564103</v>
      </c>
      <c r="H329" s="1" t="e">
        <f t="shared" si="15"/>
        <v>#VALUE!</v>
      </c>
      <c r="I329" s="1">
        <v>18</v>
      </c>
      <c r="J329" s="1">
        <v>27</v>
      </c>
      <c r="L329" s="61" t="str">
        <f t="shared" si="16"/>
        <v xml:space="preserve"> דירת 5 חדרים</v>
      </c>
      <c r="Q329" s="1" t="str">
        <f t="shared" si="17"/>
        <v xml:space="preserve"> דירת 5 חדרים 3,102,564 27 128</v>
      </c>
    </row>
    <row r="330" spans="1:17" x14ac:dyDescent="0.25">
      <c r="A330" s="1" t="s">
        <v>51</v>
      </c>
      <c r="C330" s="1" t="str">
        <f t="shared" si="12"/>
        <v xml:space="preserve">₪ 26,096 </v>
      </c>
      <c r="E330" s="1" t="str">
        <f t="shared" si="13"/>
        <v>₪ 26,096 ₪ 2,440,000</v>
      </c>
      <c r="F330" s="1" t="str">
        <f t="shared" si="11"/>
        <v>2,440,000</v>
      </c>
      <c r="G330" s="1">
        <f t="shared" si="14"/>
        <v>2085470.0854700855</v>
      </c>
      <c r="H330" s="1" t="e">
        <f t="shared" si="15"/>
        <v>#VALUE!</v>
      </c>
      <c r="I330" s="1">
        <v>19</v>
      </c>
      <c r="J330" s="1">
        <v>27</v>
      </c>
      <c r="L330" s="61" t="str">
        <f t="shared" si="16"/>
        <v>9 דירת 3 חדרי</v>
      </c>
      <c r="Q330" s="1" t="str">
        <f t="shared" si="17"/>
        <v>9 דירת 3 חדרים 2,085,470 27 80</v>
      </c>
    </row>
    <row r="331" spans="1:17" x14ac:dyDescent="0.25">
      <c r="A331" s="1" t="s">
        <v>52</v>
      </c>
      <c r="C331" s="1" t="str">
        <f t="shared" si="12"/>
        <v xml:space="preserve">₪ 25,868 </v>
      </c>
      <c r="E331" s="1" t="str">
        <f t="shared" si="13"/>
        <v>₪ 25,868 ₪ 3,650,000</v>
      </c>
      <c r="F331" s="1" t="str">
        <f t="shared" si="11"/>
        <v>3,650,000</v>
      </c>
      <c r="G331" s="1">
        <f t="shared" si="14"/>
        <v>3119658.11965812</v>
      </c>
      <c r="H331" s="1" t="e">
        <f t="shared" si="15"/>
        <v>#VALUE!</v>
      </c>
      <c r="I331" s="1">
        <v>20</v>
      </c>
      <c r="J331" s="1">
        <v>27</v>
      </c>
      <c r="L331" s="61" t="str">
        <f t="shared" si="16"/>
        <v xml:space="preserve"> דירת 5 חדרים</v>
      </c>
      <c r="Q331" s="1" t="str">
        <f t="shared" si="17"/>
        <v xml:space="preserve"> דירת 5 חדרים 3,119,658 27 128</v>
      </c>
    </row>
    <row r="332" spans="1:17" x14ac:dyDescent="0.25">
      <c r="A332" s="1" t="s">
        <v>53</v>
      </c>
      <c r="C332" s="1" t="str">
        <f t="shared" si="12"/>
        <v xml:space="preserve">₪ 25,868 </v>
      </c>
      <c r="E332" s="1" t="str">
        <f t="shared" si="13"/>
        <v>₪ 25,868 ₪ 3,650,000</v>
      </c>
      <c r="F332" s="1" t="str">
        <f t="shared" si="11"/>
        <v>3,650,000</v>
      </c>
      <c r="G332" s="1">
        <f t="shared" si="14"/>
        <v>3119658.11965812</v>
      </c>
      <c r="H332" s="1" t="e">
        <f t="shared" si="15"/>
        <v>#VALUE!</v>
      </c>
      <c r="I332" s="1">
        <v>21</v>
      </c>
      <c r="J332" s="1">
        <v>27</v>
      </c>
      <c r="L332" s="61" t="str">
        <f t="shared" si="16"/>
        <v xml:space="preserve"> דירת 5 חדרים</v>
      </c>
      <c r="Q332" s="1" t="str">
        <f t="shared" si="17"/>
        <v xml:space="preserve"> דירת 5 חדרים 3,119,658 27 128</v>
      </c>
    </row>
    <row r="333" spans="1:17" x14ac:dyDescent="0.25">
      <c r="A333" s="1" t="s">
        <v>54</v>
      </c>
      <c r="C333" s="1" t="str">
        <f t="shared" si="12"/>
        <v xml:space="preserve">₪ 27,895 </v>
      </c>
      <c r="E333" s="1" t="str">
        <f t="shared" si="13"/>
        <v>₪ 27,895 ₪ 4,240,000</v>
      </c>
      <c r="F333" s="1" t="str">
        <f t="shared" si="11"/>
        <v>4,240,000</v>
      </c>
      <c r="G333" s="1">
        <f t="shared" si="14"/>
        <v>3623931.623931624</v>
      </c>
      <c r="H333" s="1" t="e">
        <f t="shared" si="15"/>
        <v>#VALUE!</v>
      </c>
      <c r="I333" s="1">
        <v>22</v>
      </c>
      <c r="J333" s="1">
        <v>27</v>
      </c>
      <c r="L333" s="61" t="str">
        <f t="shared" si="16"/>
        <v>טהאוז 6 חדרים</v>
      </c>
      <c r="Q333" s="1" t="str">
        <f t="shared" si="17"/>
        <v>טהאוז 6 חדרים 3,623,932 40 152</v>
      </c>
    </row>
    <row r="334" spans="1:17" x14ac:dyDescent="0.25">
      <c r="A334" s="1" t="s">
        <v>30</v>
      </c>
      <c r="C334" s="1" t="str">
        <f t="shared" si="12"/>
        <v xml:space="preserve">₪ 27,895 </v>
      </c>
      <c r="E334" s="1" t="str">
        <f t="shared" si="13"/>
        <v>₪ 27,895 ₪ 4,240,000</v>
      </c>
      <c r="F334" s="1" t="str">
        <f t="shared" si="11"/>
        <v>4,240,000</v>
      </c>
      <c r="G334" s="1">
        <f t="shared" si="14"/>
        <v>3623931.623931624</v>
      </c>
      <c r="H334" s="1" t="e">
        <f t="shared" ref="H334:H336" si="18">F334/C334</f>
        <v>#VALUE!</v>
      </c>
      <c r="I334" s="1">
        <v>23</v>
      </c>
      <c r="K334" s="1">
        <v>40</v>
      </c>
      <c r="L334" s="61" t="str">
        <f t="shared" si="16"/>
        <v>טהאוז 6 חדרים</v>
      </c>
      <c r="Q334" s="1" t="str">
        <f t="shared" si="17"/>
        <v>טהאוז 6 חדרים 3,623,932 40 152</v>
      </c>
    </row>
    <row r="335" spans="1:17" x14ac:dyDescent="0.25">
      <c r="A335" s="1" t="s">
        <v>55</v>
      </c>
      <c r="C335" s="1" t="str">
        <f t="shared" si="12"/>
        <v xml:space="preserve">₪ 27,861 </v>
      </c>
      <c r="E335" s="1" t="str">
        <f t="shared" si="13"/>
        <v>₪ 27,861 ₪ 5,210,000</v>
      </c>
      <c r="F335" s="1" t="str">
        <f t="shared" si="11"/>
        <v>5,210,000</v>
      </c>
      <c r="G335" s="1">
        <f t="shared" si="14"/>
        <v>4452991.452991453</v>
      </c>
      <c r="H335" s="1" t="e">
        <f t="shared" si="18"/>
        <v>#VALUE!</v>
      </c>
      <c r="I335" s="1">
        <v>24</v>
      </c>
      <c r="K335" s="1">
        <v>40</v>
      </c>
      <c r="L335" s="61" t="str">
        <f t="shared" si="16"/>
        <v>ופלקס 5 חדרים</v>
      </c>
      <c r="Q335" s="1" t="str">
        <f t="shared" si="17"/>
        <v>ופלקס 5 חדרים 4,452,991 70 187</v>
      </c>
    </row>
    <row r="336" spans="1:17" x14ac:dyDescent="0.25">
      <c r="A336" s="1" t="s">
        <v>32</v>
      </c>
      <c r="C336" s="1" t="str">
        <f t="shared" si="12"/>
        <v xml:space="preserve">₪ 27,861 </v>
      </c>
      <c r="E336" s="1" t="str">
        <f t="shared" si="13"/>
        <v>₪ 27,861 ₪ 5,210,000</v>
      </c>
      <c r="F336" s="1" t="str">
        <f t="shared" si="11"/>
        <v>5,210,000</v>
      </c>
      <c r="G336" s="1">
        <f t="shared" si="14"/>
        <v>4452991.452991453</v>
      </c>
      <c r="H336" s="1" t="e">
        <f t="shared" si="18"/>
        <v>#VALUE!</v>
      </c>
      <c r="I336" s="1">
        <v>25</v>
      </c>
      <c r="K336" s="1">
        <v>70</v>
      </c>
      <c r="L336" s="61" t="str">
        <f t="shared" si="16"/>
        <v>ופלקס 5 חדרים</v>
      </c>
      <c r="Q336" s="1" t="str">
        <f t="shared" si="17"/>
        <v>ופלקס 5 חדרים 4,452,991 70 187</v>
      </c>
    </row>
    <row r="337" spans="1:17" x14ac:dyDescent="0.25">
      <c r="L337" s="61"/>
    </row>
    <row r="338" spans="1:17" ht="13" x14ac:dyDescent="0.3">
      <c r="A338" s="63" t="s">
        <v>58</v>
      </c>
    </row>
    <row r="340" spans="1:17" x14ac:dyDescent="0.25">
      <c r="A340" s="1" t="s">
        <v>56</v>
      </c>
      <c r="C340" s="1" t="str">
        <f>LEFT(A340,9)</f>
        <v xml:space="preserve">₪ 30,520 </v>
      </c>
      <c r="E340" s="1" t="str">
        <f t="shared" ref="E340" si="19">LEFT(A340,20)</f>
        <v>₪ 30,520 ₪ 4,050,000</v>
      </c>
      <c r="F340" s="1" t="str">
        <f t="shared" ref="F340:F365" si="20">RIGHT(E340,9)</f>
        <v>4,050,000</v>
      </c>
      <c r="G340" s="1">
        <f>F340/1.17</f>
        <v>3461538.461538462</v>
      </c>
      <c r="H340" s="1" t="e">
        <f>F340/C340</f>
        <v>#VALUE!</v>
      </c>
      <c r="I340" s="1">
        <v>1</v>
      </c>
      <c r="K340" s="1">
        <v>100</v>
      </c>
      <c r="L340" s="61" t="str">
        <f>LEFT(Q340,20)</f>
        <v>דירת גן 5 חדרים קרקע</v>
      </c>
      <c r="Q340" s="1" t="str">
        <f>RIGHT(A340,38)</f>
        <v>דירת גן 5 חדרים קרקע 3,461,538 100 133</v>
      </c>
    </row>
    <row r="341" spans="1:17" x14ac:dyDescent="0.25">
      <c r="A341" s="1" t="s">
        <v>9</v>
      </c>
      <c r="C341" s="1" t="str">
        <f t="shared" ref="C341:C365" si="21">LEFT(A341,9)</f>
        <v xml:space="preserve">₪ 25,034 </v>
      </c>
      <c r="E341" s="1" t="str">
        <f t="shared" ref="E341:E365" si="22">LEFT(A341,20)</f>
        <v>₪ 25,034 ₪ 3,660,000</v>
      </c>
      <c r="F341" s="1" t="str">
        <f t="shared" si="20"/>
        <v>3,660,000</v>
      </c>
      <c r="G341" s="1">
        <f t="shared" ref="G341:G365" si="23">F341/1.17</f>
        <v>3128205.1282051285</v>
      </c>
      <c r="H341" s="1" t="e">
        <f>F341/C341-13</f>
        <v>#VALUE!</v>
      </c>
      <c r="I341" s="1">
        <v>2</v>
      </c>
      <c r="J341" s="1">
        <v>27</v>
      </c>
      <c r="L341" s="61" t="str">
        <f>LEFT(Q341,13)</f>
        <v xml:space="preserve"> דירת 5 חדרים</v>
      </c>
      <c r="Q341" s="1" t="str">
        <f>RIGHT(A341,30)</f>
        <v xml:space="preserve"> דירת 5 חדרים 3,128,205 27 133</v>
      </c>
    </row>
    <row r="342" spans="1:17" x14ac:dyDescent="0.25">
      <c r="A342" s="1" t="s">
        <v>10</v>
      </c>
      <c r="C342" s="1" t="str">
        <f t="shared" si="21"/>
        <v xml:space="preserve">₪ 25,017 </v>
      </c>
      <c r="E342" s="1" t="str">
        <f t="shared" si="22"/>
        <v>₪ 25,017 ₪ 3,590,000</v>
      </c>
      <c r="F342" s="1" t="str">
        <f t="shared" si="20"/>
        <v>3,590,000</v>
      </c>
      <c r="G342" s="1">
        <f t="shared" si="23"/>
        <v>3068376.0683760685</v>
      </c>
      <c r="H342" s="1" t="e">
        <f t="shared" ref="H342:H361" si="24">F342/C342-13</f>
        <v>#VALUE!</v>
      </c>
      <c r="I342" s="1">
        <v>3</v>
      </c>
      <c r="J342" s="1">
        <v>27</v>
      </c>
      <c r="L342" s="61" t="str">
        <f t="shared" ref="L342:L365" si="25">LEFT(Q342,13)</f>
        <v xml:space="preserve"> דירת 5 חדרים</v>
      </c>
      <c r="Q342" s="1" t="str">
        <f t="shared" ref="Q342:Q365" si="26">RIGHT(A342,30)</f>
        <v xml:space="preserve"> דירת 5 חדרים 3,068,376 27 130</v>
      </c>
    </row>
    <row r="343" spans="1:17" x14ac:dyDescent="0.25">
      <c r="A343" s="1" t="s">
        <v>11</v>
      </c>
      <c r="C343" s="1" t="str">
        <f t="shared" si="21"/>
        <v xml:space="preserve">₪ 25,027 </v>
      </c>
      <c r="E343" s="1" t="str">
        <f t="shared" si="22"/>
        <v>₪ 25,027 ₪ 2,340,000</v>
      </c>
      <c r="F343" s="1" t="str">
        <f t="shared" si="20"/>
        <v>2,340,000</v>
      </c>
      <c r="G343" s="1">
        <f t="shared" si="23"/>
        <v>2000000.0000000002</v>
      </c>
      <c r="H343" s="1" t="e">
        <f t="shared" si="24"/>
        <v>#VALUE!</v>
      </c>
      <c r="I343" s="1">
        <v>4</v>
      </c>
      <c r="J343" s="1">
        <v>27</v>
      </c>
      <c r="L343" s="61" t="str">
        <f t="shared" si="25"/>
        <v>4 דירת 3 חדרי</v>
      </c>
      <c r="Q343" s="1" t="str">
        <f t="shared" si="26"/>
        <v>4 דירת 3 חדרים 2,000,000 27 80</v>
      </c>
    </row>
    <row r="344" spans="1:17" x14ac:dyDescent="0.25">
      <c r="A344" s="1" t="s">
        <v>12</v>
      </c>
      <c r="C344" s="1" t="str">
        <f t="shared" si="21"/>
        <v xml:space="preserve">₪ 25,171 </v>
      </c>
      <c r="E344" s="1" t="str">
        <f t="shared" si="22"/>
        <v>₪ 25,171 ₪ 3,680,000</v>
      </c>
      <c r="F344" s="1" t="str">
        <f t="shared" si="20"/>
        <v>3,680,000</v>
      </c>
      <c r="G344" s="1">
        <f t="shared" si="23"/>
        <v>3145299.1452991455</v>
      </c>
      <c r="H344" s="1" t="e">
        <f t="shared" si="24"/>
        <v>#VALUE!</v>
      </c>
      <c r="I344" s="1">
        <v>5</v>
      </c>
      <c r="J344" s="1">
        <v>27</v>
      </c>
      <c r="L344" s="61" t="str">
        <f t="shared" si="25"/>
        <v xml:space="preserve"> דירת 5 חדרים</v>
      </c>
      <c r="Q344" s="1" t="str">
        <f t="shared" si="26"/>
        <v xml:space="preserve"> דירת 5 חדרים 3,145,299 27 133</v>
      </c>
    </row>
    <row r="345" spans="1:17" x14ac:dyDescent="0.25">
      <c r="A345" s="1" t="s">
        <v>13</v>
      </c>
      <c r="C345" s="1" t="str">
        <f t="shared" si="21"/>
        <v xml:space="preserve">₪ 25,157 </v>
      </c>
      <c r="E345" s="1" t="str">
        <f t="shared" si="22"/>
        <v>₪ 25,157 ₪ 3,610,000</v>
      </c>
      <c r="F345" s="1" t="str">
        <f t="shared" si="20"/>
        <v>3,610,000</v>
      </c>
      <c r="G345" s="1">
        <f t="shared" si="23"/>
        <v>3085470.0854700855</v>
      </c>
      <c r="H345" s="1" t="e">
        <f t="shared" si="24"/>
        <v>#VALUE!</v>
      </c>
      <c r="I345" s="1">
        <v>6</v>
      </c>
      <c r="J345" s="1">
        <v>27</v>
      </c>
      <c r="L345" s="61" t="str">
        <f t="shared" si="25"/>
        <v xml:space="preserve"> דירת 5 חדרים</v>
      </c>
      <c r="Q345" s="1" t="str">
        <f t="shared" si="26"/>
        <v xml:space="preserve"> דירת 5 חדרים 3,085,470 27 130</v>
      </c>
    </row>
    <row r="346" spans="1:17" x14ac:dyDescent="0.25">
      <c r="A346" s="1" t="s">
        <v>14</v>
      </c>
      <c r="C346" s="1" t="str">
        <f t="shared" si="21"/>
        <v xml:space="preserve">₪ 25,241 </v>
      </c>
      <c r="E346" s="1" t="str">
        <f t="shared" si="22"/>
        <v>₪ 25,241 ₪ 2,360,000</v>
      </c>
      <c r="F346" s="1" t="str">
        <f t="shared" si="20"/>
        <v>2,360,000</v>
      </c>
      <c r="G346" s="1">
        <f t="shared" si="23"/>
        <v>2017094.0170940172</v>
      </c>
      <c r="H346" s="1" t="e">
        <f t="shared" si="24"/>
        <v>#VALUE!</v>
      </c>
      <c r="I346" s="1">
        <v>7</v>
      </c>
      <c r="J346" s="1">
        <v>27</v>
      </c>
      <c r="L346" s="61" t="str">
        <f t="shared" si="25"/>
        <v>7 דירת 3 חדרי</v>
      </c>
      <c r="Q346" s="1" t="str">
        <f t="shared" si="26"/>
        <v>7 דירת 3 חדרים 2,017,094 27 80</v>
      </c>
    </row>
    <row r="347" spans="1:17" x14ac:dyDescent="0.25">
      <c r="A347" s="1" t="s">
        <v>15</v>
      </c>
      <c r="C347" s="1" t="str">
        <f t="shared" si="21"/>
        <v xml:space="preserve">₪ 25,308 </v>
      </c>
      <c r="E347" s="1" t="str">
        <f t="shared" si="22"/>
        <v>₪ 25,308 ₪ 3,700,000</v>
      </c>
      <c r="F347" s="1" t="str">
        <f t="shared" si="20"/>
        <v>3,700,000</v>
      </c>
      <c r="G347" s="1">
        <f t="shared" si="23"/>
        <v>3162393.1623931625</v>
      </c>
      <c r="H347" s="1" t="e">
        <f t="shared" si="24"/>
        <v>#VALUE!</v>
      </c>
      <c r="I347" s="1">
        <v>8</v>
      </c>
      <c r="J347" s="1">
        <v>27</v>
      </c>
      <c r="L347" s="61" t="str">
        <f t="shared" si="25"/>
        <v xml:space="preserve"> דירת 5 חדרים</v>
      </c>
      <c r="Q347" s="1" t="str">
        <f t="shared" si="26"/>
        <v xml:space="preserve"> דירת 5 חדרים 3,162,393 27 133</v>
      </c>
    </row>
    <row r="348" spans="1:17" x14ac:dyDescent="0.25">
      <c r="A348" s="1" t="s">
        <v>16</v>
      </c>
      <c r="C348" s="1" t="str">
        <f t="shared" si="21"/>
        <v xml:space="preserve">₪ 25,296 </v>
      </c>
      <c r="E348" s="1" t="str">
        <f t="shared" si="22"/>
        <v>₪ 25,296 ₪ 3,630,000</v>
      </c>
      <c r="F348" s="1" t="str">
        <f t="shared" si="20"/>
        <v>3,630,000</v>
      </c>
      <c r="G348" s="1">
        <f t="shared" si="23"/>
        <v>3102564.102564103</v>
      </c>
      <c r="H348" s="1" t="e">
        <f t="shared" si="24"/>
        <v>#VALUE!</v>
      </c>
      <c r="I348" s="1">
        <v>9</v>
      </c>
      <c r="J348" s="1">
        <v>27</v>
      </c>
      <c r="L348" s="61" t="str">
        <f t="shared" si="25"/>
        <v xml:space="preserve"> דירת 5 חדרים</v>
      </c>
      <c r="Q348" s="1" t="str">
        <f t="shared" si="26"/>
        <v xml:space="preserve"> דירת 5 חדרים 3,102,564 27 130</v>
      </c>
    </row>
    <row r="349" spans="1:17" x14ac:dyDescent="0.25">
      <c r="A349" s="1" t="s">
        <v>17</v>
      </c>
      <c r="C349" s="1" t="str">
        <f t="shared" si="21"/>
        <v xml:space="preserve">₪ 25,455 </v>
      </c>
      <c r="E349" s="1" t="str">
        <f t="shared" si="22"/>
        <v>₪ 25,455 ₪ 2,380,000</v>
      </c>
      <c r="F349" s="1" t="str">
        <f t="shared" si="20"/>
        <v>2,380,000</v>
      </c>
      <c r="G349" s="1">
        <f t="shared" si="23"/>
        <v>2034188.0341880342</v>
      </c>
      <c r="H349" s="1" t="e">
        <f t="shared" si="24"/>
        <v>#VALUE!</v>
      </c>
      <c r="I349" s="1">
        <v>10</v>
      </c>
      <c r="J349" s="1">
        <v>27</v>
      </c>
      <c r="L349" s="61" t="str">
        <f t="shared" si="25"/>
        <v>0 דירת 3 חדרי</v>
      </c>
      <c r="Q349" s="1" t="str">
        <f t="shared" si="26"/>
        <v>0 דירת 3 חדרים 2,034,188 27 80</v>
      </c>
    </row>
    <row r="350" spans="1:17" x14ac:dyDescent="0.25">
      <c r="A350" s="1" t="s">
        <v>18</v>
      </c>
      <c r="C350" s="1" t="str">
        <f t="shared" si="21"/>
        <v xml:space="preserve">₪ 25,445 </v>
      </c>
      <c r="E350" s="1" t="str">
        <f t="shared" si="22"/>
        <v>₪ 25,445 ₪ 3,720,000</v>
      </c>
      <c r="F350" s="1" t="str">
        <f t="shared" si="20"/>
        <v>3,720,000</v>
      </c>
      <c r="G350" s="1">
        <f t="shared" si="23"/>
        <v>3179487.1794871795</v>
      </c>
      <c r="H350" s="1" t="e">
        <f t="shared" si="24"/>
        <v>#VALUE!</v>
      </c>
      <c r="I350" s="1">
        <v>11</v>
      </c>
      <c r="J350" s="1">
        <v>27</v>
      </c>
      <c r="L350" s="61" t="str">
        <f t="shared" si="25"/>
        <v xml:space="preserve"> דירת 5 חדרים</v>
      </c>
      <c r="Q350" s="1" t="str">
        <f t="shared" si="26"/>
        <v xml:space="preserve"> דירת 5 חדרים 3,179,487 27 133</v>
      </c>
    </row>
    <row r="351" spans="1:17" x14ac:dyDescent="0.25">
      <c r="A351" s="1" t="s">
        <v>19</v>
      </c>
      <c r="C351" s="1" t="str">
        <f t="shared" si="21"/>
        <v xml:space="preserve">₪ 25,436 </v>
      </c>
      <c r="E351" s="1" t="str">
        <f t="shared" si="22"/>
        <v>₪ 25,436 ₪ 3,650,000</v>
      </c>
      <c r="F351" s="1" t="str">
        <f t="shared" si="20"/>
        <v>3,650,000</v>
      </c>
      <c r="G351" s="1">
        <f t="shared" si="23"/>
        <v>3119658.11965812</v>
      </c>
      <c r="H351" s="1" t="e">
        <f t="shared" si="24"/>
        <v>#VALUE!</v>
      </c>
      <c r="I351" s="1">
        <v>12</v>
      </c>
      <c r="J351" s="1">
        <v>27</v>
      </c>
      <c r="L351" s="61" t="str">
        <f t="shared" si="25"/>
        <v xml:space="preserve"> דירת 5 חדרים</v>
      </c>
      <c r="Q351" s="1" t="str">
        <f t="shared" si="26"/>
        <v xml:space="preserve"> דירת 5 חדרים 3,119,658 27 130</v>
      </c>
    </row>
    <row r="352" spans="1:17" x14ac:dyDescent="0.25">
      <c r="A352" s="1" t="s">
        <v>20</v>
      </c>
      <c r="C352" s="1" t="str">
        <f t="shared" si="21"/>
        <v xml:space="preserve">₪ 25,668 </v>
      </c>
      <c r="E352" s="1" t="str">
        <f t="shared" si="22"/>
        <v>₪ 25,668 ₪ 2,400,000</v>
      </c>
      <c r="F352" s="1" t="str">
        <f t="shared" si="20"/>
        <v>2,400,000</v>
      </c>
      <c r="G352" s="1">
        <f t="shared" si="23"/>
        <v>2051282.0512820515</v>
      </c>
      <c r="H352" s="1" t="e">
        <f t="shared" si="24"/>
        <v>#VALUE!</v>
      </c>
      <c r="I352" s="1">
        <v>13</v>
      </c>
      <c r="J352" s="1">
        <v>27</v>
      </c>
      <c r="L352" s="61" t="str">
        <f t="shared" si="25"/>
        <v>3 דירת 3 חדרי</v>
      </c>
      <c r="Q352" s="1" t="str">
        <f t="shared" si="26"/>
        <v>3 דירת 3 חדרים 2,051,282 27 80</v>
      </c>
    </row>
    <row r="353" spans="1:17" x14ac:dyDescent="0.25">
      <c r="A353" s="1" t="s">
        <v>21</v>
      </c>
      <c r="C353" s="1" t="str">
        <f t="shared" si="21"/>
        <v xml:space="preserve">₪ 25,581 </v>
      </c>
      <c r="E353" s="1" t="str">
        <f t="shared" si="22"/>
        <v>₪ 25,581 ₪ 3,740,000</v>
      </c>
      <c r="F353" s="1" t="str">
        <f t="shared" si="20"/>
        <v>3,740,000</v>
      </c>
      <c r="G353" s="1">
        <f t="shared" si="23"/>
        <v>3196581.196581197</v>
      </c>
      <c r="H353" s="1" t="e">
        <f t="shared" si="24"/>
        <v>#VALUE!</v>
      </c>
      <c r="I353" s="1">
        <v>14</v>
      </c>
      <c r="J353" s="1">
        <v>27</v>
      </c>
      <c r="L353" s="61" t="str">
        <f t="shared" si="25"/>
        <v xml:space="preserve"> דירת 5 חדרים</v>
      </c>
      <c r="Q353" s="1" t="str">
        <f t="shared" si="26"/>
        <v xml:space="preserve"> דירת 5 חדרים 3,196,581 27 133</v>
      </c>
    </row>
    <row r="354" spans="1:17" x14ac:dyDescent="0.25">
      <c r="A354" s="1" t="s">
        <v>22</v>
      </c>
      <c r="C354" s="1" t="str">
        <f t="shared" si="21"/>
        <v xml:space="preserve">₪ 25,575 </v>
      </c>
      <c r="E354" s="1" t="str">
        <f t="shared" si="22"/>
        <v>₪ 25,575 ₪ 3,670,000</v>
      </c>
      <c r="F354" s="1" t="str">
        <f t="shared" si="20"/>
        <v>3,670,000</v>
      </c>
      <c r="G354" s="1">
        <f t="shared" si="23"/>
        <v>3136752.136752137</v>
      </c>
      <c r="H354" s="1" t="e">
        <f t="shared" si="24"/>
        <v>#VALUE!</v>
      </c>
      <c r="I354" s="1">
        <v>15</v>
      </c>
      <c r="J354" s="1">
        <v>27</v>
      </c>
      <c r="L354" s="61" t="str">
        <f t="shared" si="25"/>
        <v xml:space="preserve"> דירת 5 חדרים</v>
      </c>
      <c r="Q354" s="1" t="str">
        <f t="shared" si="26"/>
        <v xml:space="preserve"> דירת 5 חדרים 3,136,752 27 130</v>
      </c>
    </row>
    <row r="355" spans="1:17" x14ac:dyDescent="0.25">
      <c r="A355" s="1" t="s">
        <v>57</v>
      </c>
      <c r="C355" s="1" t="str">
        <f t="shared" si="21"/>
        <v xml:space="preserve">₪ 25,633 </v>
      </c>
      <c r="E355" s="1" t="str">
        <f t="shared" si="22"/>
        <v>₪ 25,633 ₪ 3,140,000</v>
      </c>
      <c r="F355" s="1" t="str">
        <f t="shared" si="20"/>
        <v>3,140,000</v>
      </c>
      <c r="G355" s="1">
        <f t="shared" si="23"/>
        <v>2683760.683760684</v>
      </c>
      <c r="H355" s="1" t="e">
        <f t="shared" si="24"/>
        <v>#VALUE!</v>
      </c>
      <c r="I355" s="1">
        <v>16</v>
      </c>
      <c r="J355" s="1">
        <v>27</v>
      </c>
      <c r="L355" s="61" t="str">
        <f t="shared" si="25"/>
        <v xml:space="preserve"> דירת 5 חדרים</v>
      </c>
      <c r="Q355" s="1" t="str">
        <f t="shared" si="26"/>
        <v xml:space="preserve"> דירת 5 חדרים 2,683,761 27 109</v>
      </c>
    </row>
    <row r="356" spans="1:17" x14ac:dyDescent="0.25">
      <c r="A356" s="1" t="s">
        <v>24</v>
      </c>
      <c r="C356" s="1" t="str">
        <f t="shared" si="21"/>
        <v xml:space="preserve">₪ 25,718 </v>
      </c>
      <c r="E356" s="1" t="str">
        <f t="shared" si="22"/>
        <v>₪ 25,718 ₪ 3,760,000</v>
      </c>
      <c r="F356" s="1" t="str">
        <f t="shared" si="20"/>
        <v>3,760,000</v>
      </c>
      <c r="G356" s="1">
        <f t="shared" si="23"/>
        <v>3213675.213675214</v>
      </c>
      <c r="H356" s="1" t="e">
        <f t="shared" si="24"/>
        <v>#VALUE!</v>
      </c>
      <c r="I356" s="1">
        <v>17</v>
      </c>
      <c r="J356" s="1">
        <v>27</v>
      </c>
      <c r="L356" s="61" t="str">
        <f t="shared" si="25"/>
        <v xml:space="preserve"> דירת 5 חדרים</v>
      </c>
      <c r="Q356" s="1" t="str">
        <f t="shared" si="26"/>
        <v xml:space="preserve"> דירת 5 חדרים 3,213,675 27 133</v>
      </c>
    </row>
    <row r="357" spans="1:17" x14ac:dyDescent="0.25">
      <c r="A357" s="1" t="s">
        <v>25</v>
      </c>
      <c r="C357" s="1" t="str">
        <f t="shared" si="21"/>
        <v xml:space="preserve">₪ 25,714 </v>
      </c>
      <c r="E357" s="1" t="str">
        <f t="shared" si="22"/>
        <v>₪ 25,714 ₪ 3,690,000</v>
      </c>
      <c r="F357" s="1" t="str">
        <f t="shared" si="20"/>
        <v>3,690,000</v>
      </c>
      <c r="G357" s="1">
        <f t="shared" si="23"/>
        <v>3153846.153846154</v>
      </c>
      <c r="H357" s="1" t="e">
        <f t="shared" si="24"/>
        <v>#VALUE!</v>
      </c>
      <c r="I357" s="1">
        <v>18</v>
      </c>
      <c r="J357" s="1">
        <v>27</v>
      </c>
      <c r="L357" s="61" t="str">
        <f t="shared" si="25"/>
        <v xml:space="preserve"> דירת 5 חדרים</v>
      </c>
      <c r="Q357" s="1" t="str">
        <f t="shared" si="26"/>
        <v xml:space="preserve"> דירת 5 חדרים 3,153,846 27 130</v>
      </c>
    </row>
    <row r="358" spans="1:17" x14ac:dyDescent="0.25">
      <c r="A358" s="1" t="s">
        <v>26</v>
      </c>
      <c r="C358" s="1" t="str">
        <f t="shared" si="21"/>
        <v xml:space="preserve">₪ 25,796 </v>
      </c>
      <c r="E358" s="1" t="str">
        <f t="shared" si="22"/>
        <v>₪ 25,796 ₪ 3,160,000</v>
      </c>
      <c r="F358" s="1" t="str">
        <f t="shared" si="20"/>
        <v>3,160,000</v>
      </c>
      <c r="G358" s="1">
        <f t="shared" si="23"/>
        <v>2700854.700854701</v>
      </c>
      <c r="H358" s="1" t="e">
        <f t="shared" si="24"/>
        <v>#VALUE!</v>
      </c>
      <c r="I358" s="1">
        <v>19</v>
      </c>
      <c r="J358" s="1">
        <v>27</v>
      </c>
      <c r="L358" s="61" t="str">
        <f t="shared" si="25"/>
        <v xml:space="preserve"> דירת 5 חדרים</v>
      </c>
      <c r="Q358" s="1" t="str">
        <f t="shared" si="26"/>
        <v xml:space="preserve"> דירת 5 חדרים 2,700,855 27 109</v>
      </c>
    </row>
    <row r="359" spans="1:17" x14ac:dyDescent="0.25">
      <c r="A359" s="1" t="s">
        <v>27</v>
      </c>
      <c r="C359" s="1" t="str">
        <f t="shared" si="21"/>
        <v xml:space="preserve">₪ 25,855 </v>
      </c>
      <c r="E359" s="1" t="str">
        <f t="shared" si="22"/>
        <v>₪ 25,855 ₪ 3,780,000</v>
      </c>
      <c r="F359" s="1" t="str">
        <f t="shared" si="20"/>
        <v>3,780,000</v>
      </c>
      <c r="G359" s="1">
        <f t="shared" si="23"/>
        <v>3230769.230769231</v>
      </c>
      <c r="H359" s="1" t="e">
        <f t="shared" si="24"/>
        <v>#VALUE!</v>
      </c>
      <c r="I359" s="1">
        <v>20</v>
      </c>
      <c r="J359" s="1">
        <v>27</v>
      </c>
      <c r="L359" s="61" t="str">
        <f t="shared" si="25"/>
        <v xml:space="preserve"> דירת 5 חדרים</v>
      </c>
      <c r="Q359" s="1" t="str">
        <f t="shared" si="26"/>
        <v xml:space="preserve"> דירת 5 חדרים 3,230,769 27 133</v>
      </c>
    </row>
    <row r="360" spans="1:17" x14ac:dyDescent="0.25">
      <c r="A360" s="1" t="s">
        <v>28</v>
      </c>
      <c r="C360" s="1" t="str">
        <f t="shared" si="21"/>
        <v xml:space="preserve">₪ 25,854 </v>
      </c>
      <c r="E360" s="1" t="str">
        <f t="shared" si="22"/>
        <v>₪ 25,854 ₪ 3,710,000</v>
      </c>
      <c r="F360" s="1" t="str">
        <f t="shared" si="20"/>
        <v>3,710,000</v>
      </c>
      <c r="G360" s="1">
        <f t="shared" si="23"/>
        <v>3170940.170940171</v>
      </c>
      <c r="H360" s="1" t="e">
        <f t="shared" si="24"/>
        <v>#VALUE!</v>
      </c>
      <c r="I360" s="1">
        <v>21</v>
      </c>
      <c r="J360" s="1">
        <v>27</v>
      </c>
      <c r="L360" s="61" t="str">
        <f t="shared" si="25"/>
        <v xml:space="preserve"> דירת 5 חדרים</v>
      </c>
      <c r="Q360" s="1" t="str">
        <f t="shared" si="26"/>
        <v xml:space="preserve"> דירת 5 חדרים 3,170,940 27 130</v>
      </c>
    </row>
    <row r="361" spans="1:17" x14ac:dyDescent="0.25">
      <c r="A361" s="1" t="s">
        <v>29</v>
      </c>
      <c r="C361" s="1" t="str">
        <f t="shared" si="21"/>
        <v xml:space="preserve">₪ 25,959 </v>
      </c>
      <c r="E361" s="1" t="str">
        <f t="shared" si="22"/>
        <v>₪ 25,959 ₪ 3,180,000</v>
      </c>
      <c r="F361" s="1" t="str">
        <f t="shared" si="20"/>
        <v>3,180,000</v>
      </c>
      <c r="G361" s="1">
        <f t="shared" si="23"/>
        <v>2717948.717948718</v>
      </c>
      <c r="H361" s="1" t="e">
        <f t="shared" si="24"/>
        <v>#VALUE!</v>
      </c>
      <c r="I361" s="1">
        <v>22</v>
      </c>
      <c r="J361" s="1">
        <v>27</v>
      </c>
      <c r="L361" s="61" t="str">
        <f t="shared" si="25"/>
        <v xml:space="preserve"> דירת 5 חדרים</v>
      </c>
      <c r="Q361" s="1" t="str">
        <f t="shared" si="26"/>
        <v xml:space="preserve"> דירת 5 חדרים 2,717,949 27 109</v>
      </c>
    </row>
    <row r="362" spans="1:17" x14ac:dyDescent="0.25">
      <c r="A362" s="1" t="s">
        <v>30</v>
      </c>
      <c r="C362" s="1" t="str">
        <f t="shared" si="21"/>
        <v xml:space="preserve">₪ 27,895 </v>
      </c>
      <c r="E362" s="1" t="str">
        <f t="shared" si="22"/>
        <v>₪ 27,895 ₪ 4,240,000</v>
      </c>
      <c r="F362" s="1" t="str">
        <f t="shared" si="20"/>
        <v>4,240,000</v>
      </c>
      <c r="G362" s="1">
        <f t="shared" si="23"/>
        <v>3623931.623931624</v>
      </c>
      <c r="H362" s="1" t="e">
        <f t="shared" ref="H362:H365" si="27">F362/C362</f>
        <v>#VALUE!</v>
      </c>
      <c r="I362" s="1">
        <v>23</v>
      </c>
      <c r="K362" s="1">
        <v>40</v>
      </c>
      <c r="L362" s="61" t="str">
        <f t="shared" si="25"/>
        <v>טהאוז 6 חדרים</v>
      </c>
      <c r="Q362" s="1" t="str">
        <f t="shared" si="26"/>
        <v>טהאוז 6 חדרים 3,623,932 40 152</v>
      </c>
    </row>
    <row r="363" spans="1:17" x14ac:dyDescent="0.25">
      <c r="A363" s="1" t="s">
        <v>31</v>
      </c>
      <c r="C363" s="1" t="str">
        <f t="shared" si="21"/>
        <v xml:space="preserve">₪ 27,895 </v>
      </c>
      <c r="E363" s="1" t="str">
        <f t="shared" si="22"/>
        <v>₪ 27,895 ₪ 4,240,000</v>
      </c>
      <c r="F363" s="1" t="str">
        <f t="shared" si="20"/>
        <v>4,240,000</v>
      </c>
      <c r="G363" s="1">
        <f t="shared" si="23"/>
        <v>3623931.623931624</v>
      </c>
      <c r="H363" s="1" t="e">
        <f t="shared" si="27"/>
        <v>#VALUE!</v>
      </c>
      <c r="I363" s="1">
        <v>24</v>
      </c>
      <c r="K363" s="1">
        <v>40</v>
      </c>
      <c r="L363" s="61" t="str">
        <f t="shared" si="25"/>
        <v>טהאוז 6 חדרים</v>
      </c>
      <c r="Q363" s="1" t="str">
        <f t="shared" si="26"/>
        <v>טהאוז 6 חדרים 3,623,932 40 152</v>
      </c>
    </row>
    <row r="364" spans="1:17" x14ac:dyDescent="0.25">
      <c r="A364" s="1" t="s">
        <v>32</v>
      </c>
      <c r="C364" s="1" t="str">
        <f t="shared" si="21"/>
        <v xml:space="preserve">₪ 27,861 </v>
      </c>
      <c r="E364" s="1" t="str">
        <f t="shared" si="22"/>
        <v>₪ 27,861 ₪ 5,210,000</v>
      </c>
      <c r="F364" s="1" t="str">
        <f t="shared" si="20"/>
        <v>5,210,000</v>
      </c>
      <c r="G364" s="1">
        <f t="shared" si="23"/>
        <v>4452991.452991453</v>
      </c>
      <c r="H364" s="1" t="e">
        <f t="shared" si="27"/>
        <v>#VALUE!</v>
      </c>
      <c r="I364" s="1">
        <v>25</v>
      </c>
      <c r="K364" s="1">
        <v>70</v>
      </c>
      <c r="L364" s="61" t="str">
        <f t="shared" si="25"/>
        <v>ופלקס 5 חדרים</v>
      </c>
      <c r="Q364" s="1" t="str">
        <f t="shared" si="26"/>
        <v>ופלקס 5 חדרים 4,452,991 70 187</v>
      </c>
    </row>
    <row r="365" spans="1:17" x14ac:dyDescent="0.25">
      <c r="A365" s="1" t="s">
        <v>33</v>
      </c>
      <c r="C365" s="1" t="str">
        <f t="shared" si="21"/>
        <v xml:space="preserve">₪ 27,861 </v>
      </c>
      <c r="E365" s="1" t="str">
        <f t="shared" si="22"/>
        <v>₪ 27,861 ₪ 5,210,000</v>
      </c>
      <c r="F365" s="1" t="str">
        <f t="shared" si="20"/>
        <v>5,210,000</v>
      </c>
      <c r="G365" s="1">
        <f t="shared" si="23"/>
        <v>4452991.452991453</v>
      </c>
      <c r="H365" s="1" t="e">
        <f t="shared" si="27"/>
        <v>#VALUE!</v>
      </c>
      <c r="I365" s="1">
        <v>26</v>
      </c>
      <c r="K365" s="1">
        <v>70</v>
      </c>
      <c r="L365" s="61" t="str">
        <f t="shared" si="25"/>
        <v>ופלקס 5 חדרים</v>
      </c>
      <c r="Q365" s="1" t="str">
        <f t="shared" si="26"/>
        <v>ופלקס 5 חדרים 4,452,991 70 187</v>
      </c>
    </row>
  </sheetData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1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W372"/>
  <sheetViews>
    <sheetView tabSelected="1" topLeftCell="G1" zoomScaleNormal="100" workbookViewId="0">
      <selection activeCell="K11" sqref="K11"/>
    </sheetView>
  </sheetViews>
  <sheetFormatPr defaultRowHeight="12.5" x14ac:dyDescent="0.25"/>
  <cols>
    <col min="1" max="1" width="33.1796875" style="1" customWidth="1"/>
    <col min="2" max="2" width="48.54296875" style="1" bestFit="1" customWidth="1"/>
    <col min="3" max="4" width="17.453125" style="1" customWidth="1"/>
    <col min="5" max="5" width="19" style="1" bestFit="1" customWidth="1"/>
    <col min="6" max="6" width="14.81640625" style="1" customWidth="1"/>
    <col min="7" max="9" width="21.453125" style="1" customWidth="1"/>
    <col min="10" max="10" width="15.54296875" style="1" bestFit="1" customWidth="1"/>
    <col min="11" max="11" width="15.54296875" style="1" customWidth="1"/>
    <col min="12" max="12" width="15.54296875" style="1" bestFit="1" customWidth="1"/>
    <col min="13" max="14" width="9" style="1"/>
    <col min="15" max="15" width="15.54296875" style="1" bestFit="1" customWidth="1"/>
    <col min="16" max="17" width="9" style="1"/>
    <col min="18" max="18" width="11.453125" style="1" bestFit="1" customWidth="1"/>
    <col min="19" max="262" width="9" style="1"/>
    <col min="263" max="263" width="33.1796875" style="1" customWidth="1"/>
    <col min="264" max="264" width="9.1796875" style="1" bestFit="1" customWidth="1"/>
    <col min="265" max="265" width="12.7265625" style="1" bestFit="1" customWidth="1"/>
    <col min="266" max="266" width="11.7265625" style="1" customWidth="1"/>
    <col min="267" max="267" width="29.54296875" style="1" customWidth="1"/>
    <col min="268" max="268" width="16.453125" style="1" customWidth="1"/>
    <col min="269" max="269" width="16.453125" style="1" bestFit="1" customWidth="1"/>
    <col min="270" max="270" width="17.1796875" style="1" bestFit="1" customWidth="1"/>
    <col min="271" max="271" width="9.54296875" style="1" customWidth="1"/>
    <col min="272" max="518" width="9" style="1"/>
    <col min="519" max="519" width="33.1796875" style="1" customWidth="1"/>
    <col min="520" max="520" width="9.1796875" style="1" bestFit="1" customWidth="1"/>
    <col min="521" max="521" width="12.7265625" style="1" bestFit="1" customWidth="1"/>
    <col min="522" max="522" width="11.7265625" style="1" customWidth="1"/>
    <col min="523" max="523" width="29.54296875" style="1" customWidth="1"/>
    <col min="524" max="524" width="16.453125" style="1" customWidth="1"/>
    <col min="525" max="525" width="16.453125" style="1" bestFit="1" customWidth="1"/>
    <col min="526" max="526" width="17.1796875" style="1" bestFit="1" customWidth="1"/>
    <col min="527" max="527" width="9.54296875" style="1" customWidth="1"/>
    <col min="528" max="774" width="9" style="1"/>
    <col min="775" max="775" width="33.1796875" style="1" customWidth="1"/>
    <col min="776" max="776" width="9.1796875" style="1" bestFit="1" customWidth="1"/>
    <col min="777" max="777" width="12.7265625" style="1" bestFit="1" customWidth="1"/>
    <col min="778" max="778" width="11.7265625" style="1" customWidth="1"/>
    <col min="779" max="779" width="29.54296875" style="1" customWidth="1"/>
    <col min="780" max="780" width="16.453125" style="1" customWidth="1"/>
    <col min="781" max="781" width="16.453125" style="1" bestFit="1" customWidth="1"/>
    <col min="782" max="782" width="17.1796875" style="1" bestFit="1" customWidth="1"/>
    <col min="783" max="783" width="9.54296875" style="1" customWidth="1"/>
    <col min="784" max="1030" width="9" style="1"/>
    <col min="1031" max="1031" width="33.1796875" style="1" customWidth="1"/>
    <col min="1032" max="1032" width="9.1796875" style="1" bestFit="1" customWidth="1"/>
    <col min="1033" max="1033" width="12.7265625" style="1" bestFit="1" customWidth="1"/>
    <col min="1034" max="1034" width="11.7265625" style="1" customWidth="1"/>
    <col min="1035" max="1035" width="29.54296875" style="1" customWidth="1"/>
    <col min="1036" max="1036" width="16.453125" style="1" customWidth="1"/>
    <col min="1037" max="1037" width="16.453125" style="1" bestFit="1" customWidth="1"/>
    <col min="1038" max="1038" width="17.1796875" style="1" bestFit="1" customWidth="1"/>
    <col min="1039" max="1039" width="9.54296875" style="1" customWidth="1"/>
    <col min="1040" max="1286" width="9" style="1"/>
    <col min="1287" max="1287" width="33.1796875" style="1" customWidth="1"/>
    <col min="1288" max="1288" width="9.1796875" style="1" bestFit="1" customWidth="1"/>
    <col min="1289" max="1289" width="12.7265625" style="1" bestFit="1" customWidth="1"/>
    <col min="1290" max="1290" width="11.7265625" style="1" customWidth="1"/>
    <col min="1291" max="1291" width="29.54296875" style="1" customWidth="1"/>
    <col min="1292" max="1292" width="16.453125" style="1" customWidth="1"/>
    <col min="1293" max="1293" width="16.453125" style="1" bestFit="1" customWidth="1"/>
    <col min="1294" max="1294" width="17.1796875" style="1" bestFit="1" customWidth="1"/>
    <col min="1295" max="1295" width="9.54296875" style="1" customWidth="1"/>
    <col min="1296" max="1542" width="9" style="1"/>
    <col min="1543" max="1543" width="33.1796875" style="1" customWidth="1"/>
    <col min="1544" max="1544" width="9.1796875" style="1" bestFit="1" customWidth="1"/>
    <col min="1545" max="1545" width="12.7265625" style="1" bestFit="1" customWidth="1"/>
    <col min="1546" max="1546" width="11.7265625" style="1" customWidth="1"/>
    <col min="1547" max="1547" width="29.54296875" style="1" customWidth="1"/>
    <col min="1548" max="1548" width="16.453125" style="1" customWidth="1"/>
    <col min="1549" max="1549" width="16.453125" style="1" bestFit="1" customWidth="1"/>
    <col min="1550" max="1550" width="17.1796875" style="1" bestFit="1" customWidth="1"/>
    <col min="1551" max="1551" width="9.54296875" style="1" customWidth="1"/>
    <col min="1552" max="1798" width="9" style="1"/>
    <col min="1799" max="1799" width="33.1796875" style="1" customWidth="1"/>
    <col min="1800" max="1800" width="9.1796875" style="1" bestFit="1" customWidth="1"/>
    <col min="1801" max="1801" width="12.7265625" style="1" bestFit="1" customWidth="1"/>
    <col min="1802" max="1802" width="11.7265625" style="1" customWidth="1"/>
    <col min="1803" max="1803" width="29.54296875" style="1" customWidth="1"/>
    <col min="1804" max="1804" width="16.453125" style="1" customWidth="1"/>
    <col min="1805" max="1805" width="16.453125" style="1" bestFit="1" customWidth="1"/>
    <col min="1806" max="1806" width="17.1796875" style="1" bestFit="1" customWidth="1"/>
    <col min="1807" max="1807" width="9.54296875" style="1" customWidth="1"/>
    <col min="1808" max="2054" width="9" style="1"/>
    <col min="2055" max="2055" width="33.1796875" style="1" customWidth="1"/>
    <col min="2056" max="2056" width="9.1796875" style="1" bestFit="1" customWidth="1"/>
    <col min="2057" max="2057" width="12.7265625" style="1" bestFit="1" customWidth="1"/>
    <col min="2058" max="2058" width="11.7265625" style="1" customWidth="1"/>
    <col min="2059" max="2059" width="29.54296875" style="1" customWidth="1"/>
    <col min="2060" max="2060" width="16.453125" style="1" customWidth="1"/>
    <col min="2061" max="2061" width="16.453125" style="1" bestFit="1" customWidth="1"/>
    <col min="2062" max="2062" width="17.1796875" style="1" bestFit="1" customWidth="1"/>
    <col min="2063" max="2063" width="9.54296875" style="1" customWidth="1"/>
    <col min="2064" max="2310" width="9" style="1"/>
    <col min="2311" max="2311" width="33.1796875" style="1" customWidth="1"/>
    <col min="2312" max="2312" width="9.1796875" style="1" bestFit="1" customWidth="1"/>
    <col min="2313" max="2313" width="12.7265625" style="1" bestFit="1" customWidth="1"/>
    <col min="2314" max="2314" width="11.7265625" style="1" customWidth="1"/>
    <col min="2315" max="2315" width="29.54296875" style="1" customWidth="1"/>
    <col min="2316" max="2316" width="16.453125" style="1" customWidth="1"/>
    <col min="2317" max="2317" width="16.453125" style="1" bestFit="1" customWidth="1"/>
    <col min="2318" max="2318" width="17.1796875" style="1" bestFit="1" customWidth="1"/>
    <col min="2319" max="2319" width="9.54296875" style="1" customWidth="1"/>
    <col min="2320" max="2566" width="9" style="1"/>
    <col min="2567" max="2567" width="33.1796875" style="1" customWidth="1"/>
    <col min="2568" max="2568" width="9.1796875" style="1" bestFit="1" customWidth="1"/>
    <col min="2569" max="2569" width="12.7265625" style="1" bestFit="1" customWidth="1"/>
    <col min="2570" max="2570" width="11.7265625" style="1" customWidth="1"/>
    <col min="2571" max="2571" width="29.54296875" style="1" customWidth="1"/>
    <col min="2572" max="2572" width="16.453125" style="1" customWidth="1"/>
    <col min="2573" max="2573" width="16.453125" style="1" bestFit="1" customWidth="1"/>
    <col min="2574" max="2574" width="17.1796875" style="1" bestFit="1" customWidth="1"/>
    <col min="2575" max="2575" width="9.54296875" style="1" customWidth="1"/>
    <col min="2576" max="2822" width="9" style="1"/>
    <col min="2823" max="2823" width="33.1796875" style="1" customWidth="1"/>
    <col min="2824" max="2824" width="9.1796875" style="1" bestFit="1" customWidth="1"/>
    <col min="2825" max="2825" width="12.7265625" style="1" bestFit="1" customWidth="1"/>
    <col min="2826" max="2826" width="11.7265625" style="1" customWidth="1"/>
    <col min="2827" max="2827" width="29.54296875" style="1" customWidth="1"/>
    <col min="2828" max="2828" width="16.453125" style="1" customWidth="1"/>
    <col min="2829" max="2829" width="16.453125" style="1" bestFit="1" customWidth="1"/>
    <col min="2830" max="2830" width="17.1796875" style="1" bestFit="1" customWidth="1"/>
    <col min="2831" max="2831" width="9.54296875" style="1" customWidth="1"/>
    <col min="2832" max="3078" width="9" style="1"/>
    <col min="3079" max="3079" width="33.1796875" style="1" customWidth="1"/>
    <col min="3080" max="3080" width="9.1796875" style="1" bestFit="1" customWidth="1"/>
    <col min="3081" max="3081" width="12.7265625" style="1" bestFit="1" customWidth="1"/>
    <col min="3082" max="3082" width="11.7265625" style="1" customWidth="1"/>
    <col min="3083" max="3083" width="29.54296875" style="1" customWidth="1"/>
    <col min="3084" max="3084" width="16.453125" style="1" customWidth="1"/>
    <col min="3085" max="3085" width="16.453125" style="1" bestFit="1" customWidth="1"/>
    <col min="3086" max="3086" width="17.1796875" style="1" bestFit="1" customWidth="1"/>
    <col min="3087" max="3087" width="9.54296875" style="1" customWidth="1"/>
    <col min="3088" max="3334" width="9" style="1"/>
    <col min="3335" max="3335" width="33.1796875" style="1" customWidth="1"/>
    <col min="3336" max="3336" width="9.1796875" style="1" bestFit="1" customWidth="1"/>
    <col min="3337" max="3337" width="12.7265625" style="1" bestFit="1" customWidth="1"/>
    <col min="3338" max="3338" width="11.7265625" style="1" customWidth="1"/>
    <col min="3339" max="3339" width="29.54296875" style="1" customWidth="1"/>
    <col min="3340" max="3340" width="16.453125" style="1" customWidth="1"/>
    <col min="3341" max="3341" width="16.453125" style="1" bestFit="1" customWidth="1"/>
    <col min="3342" max="3342" width="17.1796875" style="1" bestFit="1" customWidth="1"/>
    <col min="3343" max="3343" width="9.54296875" style="1" customWidth="1"/>
    <col min="3344" max="3590" width="9" style="1"/>
    <col min="3591" max="3591" width="33.1796875" style="1" customWidth="1"/>
    <col min="3592" max="3592" width="9.1796875" style="1" bestFit="1" customWidth="1"/>
    <col min="3593" max="3593" width="12.7265625" style="1" bestFit="1" customWidth="1"/>
    <col min="3594" max="3594" width="11.7265625" style="1" customWidth="1"/>
    <col min="3595" max="3595" width="29.54296875" style="1" customWidth="1"/>
    <col min="3596" max="3596" width="16.453125" style="1" customWidth="1"/>
    <col min="3597" max="3597" width="16.453125" style="1" bestFit="1" customWidth="1"/>
    <col min="3598" max="3598" width="17.1796875" style="1" bestFit="1" customWidth="1"/>
    <col min="3599" max="3599" width="9.54296875" style="1" customWidth="1"/>
    <col min="3600" max="3846" width="9" style="1"/>
    <col min="3847" max="3847" width="33.1796875" style="1" customWidth="1"/>
    <col min="3848" max="3848" width="9.1796875" style="1" bestFit="1" customWidth="1"/>
    <col min="3849" max="3849" width="12.7265625" style="1" bestFit="1" customWidth="1"/>
    <col min="3850" max="3850" width="11.7265625" style="1" customWidth="1"/>
    <col min="3851" max="3851" width="29.54296875" style="1" customWidth="1"/>
    <col min="3852" max="3852" width="16.453125" style="1" customWidth="1"/>
    <col min="3853" max="3853" width="16.453125" style="1" bestFit="1" customWidth="1"/>
    <col min="3854" max="3854" width="17.1796875" style="1" bestFit="1" customWidth="1"/>
    <col min="3855" max="3855" width="9.54296875" style="1" customWidth="1"/>
    <col min="3856" max="4102" width="9" style="1"/>
    <col min="4103" max="4103" width="33.1796875" style="1" customWidth="1"/>
    <col min="4104" max="4104" width="9.1796875" style="1" bestFit="1" customWidth="1"/>
    <col min="4105" max="4105" width="12.7265625" style="1" bestFit="1" customWidth="1"/>
    <col min="4106" max="4106" width="11.7265625" style="1" customWidth="1"/>
    <col min="4107" max="4107" width="29.54296875" style="1" customWidth="1"/>
    <col min="4108" max="4108" width="16.453125" style="1" customWidth="1"/>
    <col min="4109" max="4109" width="16.453125" style="1" bestFit="1" customWidth="1"/>
    <col min="4110" max="4110" width="17.1796875" style="1" bestFit="1" customWidth="1"/>
    <col min="4111" max="4111" width="9.54296875" style="1" customWidth="1"/>
    <col min="4112" max="4358" width="9" style="1"/>
    <col min="4359" max="4359" width="33.1796875" style="1" customWidth="1"/>
    <col min="4360" max="4360" width="9.1796875" style="1" bestFit="1" customWidth="1"/>
    <col min="4361" max="4361" width="12.7265625" style="1" bestFit="1" customWidth="1"/>
    <col min="4362" max="4362" width="11.7265625" style="1" customWidth="1"/>
    <col min="4363" max="4363" width="29.54296875" style="1" customWidth="1"/>
    <col min="4364" max="4364" width="16.453125" style="1" customWidth="1"/>
    <col min="4365" max="4365" width="16.453125" style="1" bestFit="1" customWidth="1"/>
    <col min="4366" max="4366" width="17.1796875" style="1" bestFit="1" customWidth="1"/>
    <col min="4367" max="4367" width="9.54296875" style="1" customWidth="1"/>
    <col min="4368" max="4614" width="9" style="1"/>
    <col min="4615" max="4615" width="33.1796875" style="1" customWidth="1"/>
    <col min="4616" max="4616" width="9.1796875" style="1" bestFit="1" customWidth="1"/>
    <col min="4617" max="4617" width="12.7265625" style="1" bestFit="1" customWidth="1"/>
    <col min="4618" max="4618" width="11.7265625" style="1" customWidth="1"/>
    <col min="4619" max="4619" width="29.54296875" style="1" customWidth="1"/>
    <col min="4620" max="4620" width="16.453125" style="1" customWidth="1"/>
    <col min="4621" max="4621" width="16.453125" style="1" bestFit="1" customWidth="1"/>
    <col min="4622" max="4622" width="17.1796875" style="1" bestFit="1" customWidth="1"/>
    <col min="4623" max="4623" width="9.54296875" style="1" customWidth="1"/>
    <col min="4624" max="4870" width="9" style="1"/>
    <col min="4871" max="4871" width="33.1796875" style="1" customWidth="1"/>
    <col min="4872" max="4872" width="9.1796875" style="1" bestFit="1" customWidth="1"/>
    <col min="4873" max="4873" width="12.7265625" style="1" bestFit="1" customWidth="1"/>
    <col min="4874" max="4874" width="11.7265625" style="1" customWidth="1"/>
    <col min="4875" max="4875" width="29.54296875" style="1" customWidth="1"/>
    <col min="4876" max="4876" width="16.453125" style="1" customWidth="1"/>
    <col min="4877" max="4877" width="16.453125" style="1" bestFit="1" customWidth="1"/>
    <col min="4878" max="4878" width="17.1796875" style="1" bestFit="1" customWidth="1"/>
    <col min="4879" max="4879" width="9.54296875" style="1" customWidth="1"/>
    <col min="4880" max="5126" width="9" style="1"/>
    <col min="5127" max="5127" width="33.1796875" style="1" customWidth="1"/>
    <col min="5128" max="5128" width="9.1796875" style="1" bestFit="1" customWidth="1"/>
    <col min="5129" max="5129" width="12.7265625" style="1" bestFit="1" customWidth="1"/>
    <col min="5130" max="5130" width="11.7265625" style="1" customWidth="1"/>
    <col min="5131" max="5131" width="29.54296875" style="1" customWidth="1"/>
    <col min="5132" max="5132" width="16.453125" style="1" customWidth="1"/>
    <col min="5133" max="5133" width="16.453125" style="1" bestFit="1" customWidth="1"/>
    <col min="5134" max="5134" width="17.1796875" style="1" bestFit="1" customWidth="1"/>
    <col min="5135" max="5135" width="9.54296875" style="1" customWidth="1"/>
    <col min="5136" max="5382" width="9" style="1"/>
    <col min="5383" max="5383" width="33.1796875" style="1" customWidth="1"/>
    <col min="5384" max="5384" width="9.1796875" style="1" bestFit="1" customWidth="1"/>
    <col min="5385" max="5385" width="12.7265625" style="1" bestFit="1" customWidth="1"/>
    <col min="5386" max="5386" width="11.7265625" style="1" customWidth="1"/>
    <col min="5387" max="5387" width="29.54296875" style="1" customWidth="1"/>
    <col min="5388" max="5388" width="16.453125" style="1" customWidth="1"/>
    <col min="5389" max="5389" width="16.453125" style="1" bestFit="1" customWidth="1"/>
    <col min="5390" max="5390" width="17.1796875" style="1" bestFit="1" customWidth="1"/>
    <col min="5391" max="5391" width="9.54296875" style="1" customWidth="1"/>
    <col min="5392" max="5638" width="9" style="1"/>
    <col min="5639" max="5639" width="33.1796875" style="1" customWidth="1"/>
    <col min="5640" max="5640" width="9.1796875" style="1" bestFit="1" customWidth="1"/>
    <col min="5641" max="5641" width="12.7265625" style="1" bestFit="1" customWidth="1"/>
    <col min="5642" max="5642" width="11.7265625" style="1" customWidth="1"/>
    <col min="5643" max="5643" width="29.54296875" style="1" customWidth="1"/>
    <col min="5644" max="5644" width="16.453125" style="1" customWidth="1"/>
    <col min="5645" max="5645" width="16.453125" style="1" bestFit="1" customWidth="1"/>
    <col min="5646" max="5646" width="17.1796875" style="1" bestFit="1" customWidth="1"/>
    <col min="5647" max="5647" width="9.54296875" style="1" customWidth="1"/>
    <col min="5648" max="5894" width="9" style="1"/>
    <col min="5895" max="5895" width="33.1796875" style="1" customWidth="1"/>
    <col min="5896" max="5896" width="9.1796875" style="1" bestFit="1" customWidth="1"/>
    <col min="5897" max="5897" width="12.7265625" style="1" bestFit="1" customWidth="1"/>
    <col min="5898" max="5898" width="11.7265625" style="1" customWidth="1"/>
    <col min="5899" max="5899" width="29.54296875" style="1" customWidth="1"/>
    <col min="5900" max="5900" width="16.453125" style="1" customWidth="1"/>
    <col min="5901" max="5901" width="16.453125" style="1" bestFit="1" customWidth="1"/>
    <col min="5902" max="5902" width="17.1796875" style="1" bestFit="1" customWidth="1"/>
    <col min="5903" max="5903" width="9.54296875" style="1" customWidth="1"/>
    <col min="5904" max="6150" width="9" style="1"/>
    <col min="6151" max="6151" width="33.1796875" style="1" customWidth="1"/>
    <col min="6152" max="6152" width="9.1796875" style="1" bestFit="1" customWidth="1"/>
    <col min="6153" max="6153" width="12.7265625" style="1" bestFit="1" customWidth="1"/>
    <col min="6154" max="6154" width="11.7265625" style="1" customWidth="1"/>
    <col min="6155" max="6155" width="29.54296875" style="1" customWidth="1"/>
    <col min="6156" max="6156" width="16.453125" style="1" customWidth="1"/>
    <col min="6157" max="6157" width="16.453125" style="1" bestFit="1" customWidth="1"/>
    <col min="6158" max="6158" width="17.1796875" style="1" bestFit="1" customWidth="1"/>
    <col min="6159" max="6159" width="9.54296875" style="1" customWidth="1"/>
    <col min="6160" max="6406" width="9" style="1"/>
    <col min="6407" max="6407" width="33.1796875" style="1" customWidth="1"/>
    <col min="6408" max="6408" width="9.1796875" style="1" bestFit="1" customWidth="1"/>
    <col min="6409" max="6409" width="12.7265625" style="1" bestFit="1" customWidth="1"/>
    <col min="6410" max="6410" width="11.7265625" style="1" customWidth="1"/>
    <col min="6411" max="6411" width="29.54296875" style="1" customWidth="1"/>
    <col min="6412" max="6412" width="16.453125" style="1" customWidth="1"/>
    <col min="6413" max="6413" width="16.453125" style="1" bestFit="1" customWidth="1"/>
    <col min="6414" max="6414" width="17.1796875" style="1" bestFit="1" customWidth="1"/>
    <col min="6415" max="6415" width="9.54296875" style="1" customWidth="1"/>
    <col min="6416" max="6662" width="9" style="1"/>
    <col min="6663" max="6663" width="33.1796875" style="1" customWidth="1"/>
    <col min="6664" max="6664" width="9.1796875" style="1" bestFit="1" customWidth="1"/>
    <col min="6665" max="6665" width="12.7265625" style="1" bestFit="1" customWidth="1"/>
    <col min="6666" max="6666" width="11.7265625" style="1" customWidth="1"/>
    <col min="6667" max="6667" width="29.54296875" style="1" customWidth="1"/>
    <col min="6668" max="6668" width="16.453125" style="1" customWidth="1"/>
    <col min="6669" max="6669" width="16.453125" style="1" bestFit="1" customWidth="1"/>
    <col min="6670" max="6670" width="17.1796875" style="1" bestFit="1" customWidth="1"/>
    <col min="6671" max="6671" width="9.54296875" style="1" customWidth="1"/>
    <col min="6672" max="6918" width="9" style="1"/>
    <col min="6919" max="6919" width="33.1796875" style="1" customWidth="1"/>
    <col min="6920" max="6920" width="9.1796875" style="1" bestFit="1" customWidth="1"/>
    <col min="6921" max="6921" width="12.7265625" style="1" bestFit="1" customWidth="1"/>
    <col min="6922" max="6922" width="11.7265625" style="1" customWidth="1"/>
    <col min="6923" max="6923" width="29.54296875" style="1" customWidth="1"/>
    <col min="6924" max="6924" width="16.453125" style="1" customWidth="1"/>
    <col min="6925" max="6925" width="16.453125" style="1" bestFit="1" customWidth="1"/>
    <col min="6926" max="6926" width="17.1796875" style="1" bestFit="1" customWidth="1"/>
    <col min="6927" max="6927" width="9.54296875" style="1" customWidth="1"/>
    <col min="6928" max="7174" width="9" style="1"/>
    <col min="7175" max="7175" width="33.1796875" style="1" customWidth="1"/>
    <col min="7176" max="7176" width="9.1796875" style="1" bestFit="1" customWidth="1"/>
    <col min="7177" max="7177" width="12.7265625" style="1" bestFit="1" customWidth="1"/>
    <col min="7178" max="7178" width="11.7265625" style="1" customWidth="1"/>
    <col min="7179" max="7179" width="29.54296875" style="1" customWidth="1"/>
    <col min="7180" max="7180" width="16.453125" style="1" customWidth="1"/>
    <col min="7181" max="7181" width="16.453125" style="1" bestFit="1" customWidth="1"/>
    <col min="7182" max="7182" width="17.1796875" style="1" bestFit="1" customWidth="1"/>
    <col min="7183" max="7183" width="9.54296875" style="1" customWidth="1"/>
    <col min="7184" max="7430" width="9" style="1"/>
    <col min="7431" max="7431" width="33.1796875" style="1" customWidth="1"/>
    <col min="7432" max="7432" width="9.1796875" style="1" bestFit="1" customWidth="1"/>
    <col min="7433" max="7433" width="12.7265625" style="1" bestFit="1" customWidth="1"/>
    <col min="7434" max="7434" width="11.7265625" style="1" customWidth="1"/>
    <col min="7435" max="7435" width="29.54296875" style="1" customWidth="1"/>
    <col min="7436" max="7436" width="16.453125" style="1" customWidth="1"/>
    <col min="7437" max="7437" width="16.453125" style="1" bestFit="1" customWidth="1"/>
    <col min="7438" max="7438" width="17.1796875" style="1" bestFit="1" customWidth="1"/>
    <col min="7439" max="7439" width="9.54296875" style="1" customWidth="1"/>
    <col min="7440" max="7686" width="9" style="1"/>
    <col min="7687" max="7687" width="33.1796875" style="1" customWidth="1"/>
    <col min="7688" max="7688" width="9.1796875" style="1" bestFit="1" customWidth="1"/>
    <col min="7689" max="7689" width="12.7265625" style="1" bestFit="1" customWidth="1"/>
    <col min="7690" max="7690" width="11.7265625" style="1" customWidth="1"/>
    <col min="7691" max="7691" width="29.54296875" style="1" customWidth="1"/>
    <col min="7692" max="7692" width="16.453125" style="1" customWidth="1"/>
    <col min="7693" max="7693" width="16.453125" style="1" bestFit="1" customWidth="1"/>
    <col min="7694" max="7694" width="17.1796875" style="1" bestFit="1" customWidth="1"/>
    <col min="7695" max="7695" width="9.54296875" style="1" customWidth="1"/>
    <col min="7696" max="7942" width="9" style="1"/>
    <col min="7943" max="7943" width="33.1796875" style="1" customWidth="1"/>
    <col min="7944" max="7944" width="9.1796875" style="1" bestFit="1" customWidth="1"/>
    <col min="7945" max="7945" width="12.7265625" style="1" bestFit="1" customWidth="1"/>
    <col min="7946" max="7946" width="11.7265625" style="1" customWidth="1"/>
    <col min="7947" max="7947" width="29.54296875" style="1" customWidth="1"/>
    <col min="7948" max="7948" width="16.453125" style="1" customWidth="1"/>
    <col min="7949" max="7949" width="16.453125" style="1" bestFit="1" customWidth="1"/>
    <col min="7950" max="7950" width="17.1796875" style="1" bestFit="1" customWidth="1"/>
    <col min="7951" max="7951" width="9.54296875" style="1" customWidth="1"/>
    <col min="7952" max="8198" width="9" style="1"/>
    <col min="8199" max="8199" width="33.1796875" style="1" customWidth="1"/>
    <col min="8200" max="8200" width="9.1796875" style="1" bestFit="1" customWidth="1"/>
    <col min="8201" max="8201" width="12.7265625" style="1" bestFit="1" customWidth="1"/>
    <col min="8202" max="8202" width="11.7265625" style="1" customWidth="1"/>
    <col min="8203" max="8203" width="29.54296875" style="1" customWidth="1"/>
    <col min="8204" max="8204" width="16.453125" style="1" customWidth="1"/>
    <col min="8205" max="8205" width="16.453125" style="1" bestFit="1" customWidth="1"/>
    <col min="8206" max="8206" width="17.1796875" style="1" bestFit="1" customWidth="1"/>
    <col min="8207" max="8207" width="9.54296875" style="1" customWidth="1"/>
    <col min="8208" max="8454" width="9" style="1"/>
    <col min="8455" max="8455" width="33.1796875" style="1" customWidth="1"/>
    <col min="8456" max="8456" width="9.1796875" style="1" bestFit="1" customWidth="1"/>
    <col min="8457" max="8457" width="12.7265625" style="1" bestFit="1" customWidth="1"/>
    <col min="8458" max="8458" width="11.7265625" style="1" customWidth="1"/>
    <col min="8459" max="8459" width="29.54296875" style="1" customWidth="1"/>
    <col min="8460" max="8460" width="16.453125" style="1" customWidth="1"/>
    <col min="8461" max="8461" width="16.453125" style="1" bestFit="1" customWidth="1"/>
    <col min="8462" max="8462" width="17.1796875" style="1" bestFit="1" customWidth="1"/>
    <col min="8463" max="8463" width="9.54296875" style="1" customWidth="1"/>
    <col min="8464" max="8710" width="9" style="1"/>
    <col min="8711" max="8711" width="33.1796875" style="1" customWidth="1"/>
    <col min="8712" max="8712" width="9.1796875" style="1" bestFit="1" customWidth="1"/>
    <col min="8713" max="8713" width="12.7265625" style="1" bestFit="1" customWidth="1"/>
    <col min="8714" max="8714" width="11.7265625" style="1" customWidth="1"/>
    <col min="8715" max="8715" width="29.54296875" style="1" customWidth="1"/>
    <col min="8716" max="8716" width="16.453125" style="1" customWidth="1"/>
    <col min="8717" max="8717" width="16.453125" style="1" bestFit="1" customWidth="1"/>
    <col min="8718" max="8718" width="17.1796875" style="1" bestFit="1" customWidth="1"/>
    <col min="8719" max="8719" width="9.54296875" style="1" customWidth="1"/>
    <col min="8720" max="8966" width="9" style="1"/>
    <col min="8967" max="8967" width="33.1796875" style="1" customWidth="1"/>
    <col min="8968" max="8968" width="9.1796875" style="1" bestFit="1" customWidth="1"/>
    <col min="8969" max="8969" width="12.7265625" style="1" bestFit="1" customWidth="1"/>
    <col min="8970" max="8970" width="11.7265625" style="1" customWidth="1"/>
    <col min="8971" max="8971" width="29.54296875" style="1" customWidth="1"/>
    <col min="8972" max="8972" width="16.453125" style="1" customWidth="1"/>
    <col min="8973" max="8973" width="16.453125" style="1" bestFit="1" customWidth="1"/>
    <col min="8974" max="8974" width="17.1796875" style="1" bestFit="1" customWidth="1"/>
    <col min="8975" max="8975" width="9.54296875" style="1" customWidth="1"/>
    <col min="8976" max="9222" width="9" style="1"/>
    <col min="9223" max="9223" width="33.1796875" style="1" customWidth="1"/>
    <col min="9224" max="9224" width="9.1796875" style="1" bestFit="1" customWidth="1"/>
    <col min="9225" max="9225" width="12.7265625" style="1" bestFit="1" customWidth="1"/>
    <col min="9226" max="9226" width="11.7265625" style="1" customWidth="1"/>
    <col min="9227" max="9227" width="29.54296875" style="1" customWidth="1"/>
    <col min="9228" max="9228" width="16.453125" style="1" customWidth="1"/>
    <col min="9229" max="9229" width="16.453125" style="1" bestFit="1" customWidth="1"/>
    <col min="9230" max="9230" width="17.1796875" style="1" bestFit="1" customWidth="1"/>
    <col min="9231" max="9231" width="9.54296875" style="1" customWidth="1"/>
    <col min="9232" max="9478" width="9" style="1"/>
    <col min="9479" max="9479" width="33.1796875" style="1" customWidth="1"/>
    <col min="9480" max="9480" width="9.1796875" style="1" bestFit="1" customWidth="1"/>
    <col min="9481" max="9481" width="12.7265625" style="1" bestFit="1" customWidth="1"/>
    <col min="9482" max="9482" width="11.7265625" style="1" customWidth="1"/>
    <col min="9483" max="9483" width="29.54296875" style="1" customWidth="1"/>
    <col min="9484" max="9484" width="16.453125" style="1" customWidth="1"/>
    <col min="9485" max="9485" width="16.453125" style="1" bestFit="1" customWidth="1"/>
    <col min="9486" max="9486" width="17.1796875" style="1" bestFit="1" customWidth="1"/>
    <col min="9487" max="9487" width="9.54296875" style="1" customWidth="1"/>
    <col min="9488" max="9734" width="9" style="1"/>
    <col min="9735" max="9735" width="33.1796875" style="1" customWidth="1"/>
    <col min="9736" max="9736" width="9.1796875" style="1" bestFit="1" customWidth="1"/>
    <col min="9737" max="9737" width="12.7265625" style="1" bestFit="1" customWidth="1"/>
    <col min="9738" max="9738" width="11.7265625" style="1" customWidth="1"/>
    <col min="9739" max="9739" width="29.54296875" style="1" customWidth="1"/>
    <col min="9740" max="9740" width="16.453125" style="1" customWidth="1"/>
    <col min="9741" max="9741" width="16.453125" style="1" bestFit="1" customWidth="1"/>
    <col min="9742" max="9742" width="17.1796875" style="1" bestFit="1" customWidth="1"/>
    <col min="9743" max="9743" width="9.54296875" style="1" customWidth="1"/>
    <col min="9744" max="9990" width="9" style="1"/>
    <col min="9991" max="9991" width="33.1796875" style="1" customWidth="1"/>
    <col min="9992" max="9992" width="9.1796875" style="1" bestFit="1" customWidth="1"/>
    <col min="9993" max="9993" width="12.7265625" style="1" bestFit="1" customWidth="1"/>
    <col min="9994" max="9994" width="11.7265625" style="1" customWidth="1"/>
    <col min="9995" max="9995" width="29.54296875" style="1" customWidth="1"/>
    <col min="9996" max="9996" width="16.453125" style="1" customWidth="1"/>
    <col min="9997" max="9997" width="16.453125" style="1" bestFit="1" customWidth="1"/>
    <col min="9998" max="9998" width="17.1796875" style="1" bestFit="1" customWidth="1"/>
    <col min="9999" max="9999" width="9.54296875" style="1" customWidth="1"/>
    <col min="10000" max="10246" width="9" style="1"/>
    <col min="10247" max="10247" width="33.1796875" style="1" customWidth="1"/>
    <col min="10248" max="10248" width="9.1796875" style="1" bestFit="1" customWidth="1"/>
    <col min="10249" max="10249" width="12.7265625" style="1" bestFit="1" customWidth="1"/>
    <col min="10250" max="10250" width="11.7265625" style="1" customWidth="1"/>
    <col min="10251" max="10251" width="29.54296875" style="1" customWidth="1"/>
    <col min="10252" max="10252" width="16.453125" style="1" customWidth="1"/>
    <col min="10253" max="10253" width="16.453125" style="1" bestFit="1" customWidth="1"/>
    <col min="10254" max="10254" width="17.1796875" style="1" bestFit="1" customWidth="1"/>
    <col min="10255" max="10255" width="9.54296875" style="1" customWidth="1"/>
    <col min="10256" max="10502" width="9" style="1"/>
    <col min="10503" max="10503" width="33.1796875" style="1" customWidth="1"/>
    <col min="10504" max="10504" width="9.1796875" style="1" bestFit="1" customWidth="1"/>
    <col min="10505" max="10505" width="12.7265625" style="1" bestFit="1" customWidth="1"/>
    <col min="10506" max="10506" width="11.7265625" style="1" customWidth="1"/>
    <col min="10507" max="10507" width="29.54296875" style="1" customWidth="1"/>
    <col min="10508" max="10508" width="16.453125" style="1" customWidth="1"/>
    <col min="10509" max="10509" width="16.453125" style="1" bestFit="1" customWidth="1"/>
    <col min="10510" max="10510" width="17.1796875" style="1" bestFit="1" customWidth="1"/>
    <col min="10511" max="10511" width="9.54296875" style="1" customWidth="1"/>
    <col min="10512" max="10758" width="9" style="1"/>
    <col min="10759" max="10759" width="33.1796875" style="1" customWidth="1"/>
    <col min="10760" max="10760" width="9.1796875" style="1" bestFit="1" customWidth="1"/>
    <col min="10761" max="10761" width="12.7265625" style="1" bestFit="1" customWidth="1"/>
    <col min="10762" max="10762" width="11.7265625" style="1" customWidth="1"/>
    <col min="10763" max="10763" width="29.54296875" style="1" customWidth="1"/>
    <col min="10764" max="10764" width="16.453125" style="1" customWidth="1"/>
    <col min="10765" max="10765" width="16.453125" style="1" bestFit="1" customWidth="1"/>
    <col min="10766" max="10766" width="17.1796875" style="1" bestFit="1" customWidth="1"/>
    <col min="10767" max="10767" width="9.54296875" style="1" customWidth="1"/>
    <col min="10768" max="11014" width="9" style="1"/>
    <col min="11015" max="11015" width="33.1796875" style="1" customWidth="1"/>
    <col min="11016" max="11016" width="9.1796875" style="1" bestFit="1" customWidth="1"/>
    <col min="11017" max="11017" width="12.7265625" style="1" bestFit="1" customWidth="1"/>
    <col min="11018" max="11018" width="11.7265625" style="1" customWidth="1"/>
    <col min="11019" max="11019" width="29.54296875" style="1" customWidth="1"/>
    <col min="11020" max="11020" width="16.453125" style="1" customWidth="1"/>
    <col min="11021" max="11021" width="16.453125" style="1" bestFit="1" customWidth="1"/>
    <col min="11022" max="11022" width="17.1796875" style="1" bestFit="1" customWidth="1"/>
    <col min="11023" max="11023" width="9.54296875" style="1" customWidth="1"/>
    <col min="11024" max="11270" width="9" style="1"/>
    <col min="11271" max="11271" width="33.1796875" style="1" customWidth="1"/>
    <col min="11272" max="11272" width="9.1796875" style="1" bestFit="1" customWidth="1"/>
    <col min="11273" max="11273" width="12.7265625" style="1" bestFit="1" customWidth="1"/>
    <col min="11274" max="11274" width="11.7265625" style="1" customWidth="1"/>
    <col min="11275" max="11275" width="29.54296875" style="1" customWidth="1"/>
    <col min="11276" max="11276" width="16.453125" style="1" customWidth="1"/>
    <col min="11277" max="11277" width="16.453125" style="1" bestFit="1" customWidth="1"/>
    <col min="11278" max="11278" width="17.1796875" style="1" bestFit="1" customWidth="1"/>
    <col min="11279" max="11279" width="9.54296875" style="1" customWidth="1"/>
    <col min="11280" max="11526" width="9" style="1"/>
    <col min="11527" max="11527" width="33.1796875" style="1" customWidth="1"/>
    <col min="11528" max="11528" width="9.1796875" style="1" bestFit="1" customWidth="1"/>
    <col min="11529" max="11529" width="12.7265625" style="1" bestFit="1" customWidth="1"/>
    <col min="11530" max="11530" width="11.7265625" style="1" customWidth="1"/>
    <col min="11531" max="11531" width="29.54296875" style="1" customWidth="1"/>
    <col min="11532" max="11532" width="16.453125" style="1" customWidth="1"/>
    <col min="11533" max="11533" width="16.453125" style="1" bestFit="1" customWidth="1"/>
    <col min="11534" max="11534" width="17.1796875" style="1" bestFit="1" customWidth="1"/>
    <col min="11535" max="11535" width="9.54296875" style="1" customWidth="1"/>
    <col min="11536" max="11782" width="9" style="1"/>
    <col min="11783" max="11783" width="33.1796875" style="1" customWidth="1"/>
    <col min="11784" max="11784" width="9.1796875" style="1" bestFit="1" customWidth="1"/>
    <col min="11785" max="11785" width="12.7265625" style="1" bestFit="1" customWidth="1"/>
    <col min="11786" max="11786" width="11.7265625" style="1" customWidth="1"/>
    <col min="11787" max="11787" width="29.54296875" style="1" customWidth="1"/>
    <col min="11788" max="11788" width="16.453125" style="1" customWidth="1"/>
    <col min="11789" max="11789" width="16.453125" style="1" bestFit="1" customWidth="1"/>
    <col min="11790" max="11790" width="17.1796875" style="1" bestFit="1" customWidth="1"/>
    <col min="11791" max="11791" width="9.54296875" style="1" customWidth="1"/>
    <col min="11792" max="12038" width="9" style="1"/>
    <col min="12039" max="12039" width="33.1796875" style="1" customWidth="1"/>
    <col min="12040" max="12040" width="9.1796875" style="1" bestFit="1" customWidth="1"/>
    <col min="12041" max="12041" width="12.7265625" style="1" bestFit="1" customWidth="1"/>
    <col min="12042" max="12042" width="11.7265625" style="1" customWidth="1"/>
    <col min="12043" max="12043" width="29.54296875" style="1" customWidth="1"/>
    <col min="12044" max="12044" width="16.453125" style="1" customWidth="1"/>
    <col min="12045" max="12045" width="16.453125" style="1" bestFit="1" customWidth="1"/>
    <col min="12046" max="12046" width="17.1796875" style="1" bestFit="1" customWidth="1"/>
    <col min="12047" max="12047" width="9.54296875" style="1" customWidth="1"/>
    <col min="12048" max="12294" width="9" style="1"/>
    <col min="12295" max="12295" width="33.1796875" style="1" customWidth="1"/>
    <col min="12296" max="12296" width="9.1796875" style="1" bestFit="1" customWidth="1"/>
    <col min="12297" max="12297" width="12.7265625" style="1" bestFit="1" customWidth="1"/>
    <col min="12298" max="12298" width="11.7265625" style="1" customWidth="1"/>
    <col min="12299" max="12299" width="29.54296875" style="1" customWidth="1"/>
    <col min="12300" max="12300" width="16.453125" style="1" customWidth="1"/>
    <col min="12301" max="12301" width="16.453125" style="1" bestFit="1" customWidth="1"/>
    <col min="12302" max="12302" width="17.1796875" style="1" bestFit="1" customWidth="1"/>
    <col min="12303" max="12303" width="9.54296875" style="1" customWidth="1"/>
    <col min="12304" max="12550" width="9" style="1"/>
    <col min="12551" max="12551" width="33.1796875" style="1" customWidth="1"/>
    <col min="12552" max="12552" width="9.1796875" style="1" bestFit="1" customWidth="1"/>
    <col min="12553" max="12553" width="12.7265625" style="1" bestFit="1" customWidth="1"/>
    <col min="12554" max="12554" width="11.7265625" style="1" customWidth="1"/>
    <col min="12555" max="12555" width="29.54296875" style="1" customWidth="1"/>
    <col min="12556" max="12556" width="16.453125" style="1" customWidth="1"/>
    <col min="12557" max="12557" width="16.453125" style="1" bestFit="1" customWidth="1"/>
    <col min="12558" max="12558" width="17.1796875" style="1" bestFit="1" customWidth="1"/>
    <col min="12559" max="12559" width="9.54296875" style="1" customWidth="1"/>
    <col min="12560" max="12806" width="9" style="1"/>
    <col min="12807" max="12807" width="33.1796875" style="1" customWidth="1"/>
    <col min="12808" max="12808" width="9.1796875" style="1" bestFit="1" customWidth="1"/>
    <col min="12809" max="12809" width="12.7265625" style="1" bestFit="1" customWidth="1"/>
    <col min="12810" max="12810" width="11.7265625" style="1" customWidth="1"/>
    <col min="12811" max="12811" width="29.54296875" style="1" customWidth="1"/>
    <col min="12812" max="12812" width="16.453125" style="1" customWidth="1"/>
    <col min="12813" max="12813" width="16.453125" style="1" bestFit="1" customWidth="1"/>
    <col min="12814" max="12814" width="17.1796875" style="1" bestFit="1" customWidth="1"/>
    <col min="12815" max="12815" width="9.54296875" style="1" customWidth="1"/>
    <col min="12816" max="13062" width="9" style="1"/>
    <col min="13063" max="13063" width="33.1796875" style="1" customWidth="1"/>
    <col min="13064" max="13064" width="9.1796875" style="1" bestFit="1" customWidth="1"/>
    <col min="13065" max="13065" width="12.7265625" style="1" bestFit="1" customWidth="1"/>
    <col min="13066" max="13066" width="11.7265625" style="1" customWidth="1"/>
    <col min="13067" max="13067" width="29.54296875" style="1" customWidth="1"/>
    <col min="13068" max="13068" width="16.453125" style="1" customWidth="1"/>
    <col min="13069" max="13069" width="16.453125" style="1" bestFit="1" customWidth="1"/>
    <col min="13070" max="13070" width="17.1796875" style="1" bestFit="1" customWidth="1"/>
    <col min="13071" max="13071" width="9.54296875" style="1" customWidth="1"/>
    <col min="13072" max="13318" width="9" style="1"/>
    <col min="13319" max="13319" width="33.1796875" style="1" customWidth="1"/>
    <col min="13320" max="13320" width="9.1796875" style="1" bestFit="1" customWidth="1"/>
    <col min="13321" max="13321" width="12.7265625" style="1" bestFit="1" customWidth="1"/>
    <col min="13322" max="13322" width="11.7265625" style="1" customWidth="1"/>
    <col min="13323" max="13323" width="29.54296875" style="1" customWidth="1"/>
    <col min="13324" max="13324" width="16.453125" style="1" customWidth="1"/>
    <col min="13325" max="13325" width="16.453125" style="1" bestFit="1" customWidth="1"/>
    <col min="13326" max="13326" width="17.1796875" style="1" bestFit="1" customWidth="1"/>
    <col min="13327" max="13327" width="9.54296875" style="1" customWidth="1"/>
    <col min="13328" max="13574" width="9" style="1"/>
    <col min="13575" max="13575" width="33.1796875" style="1" customWidth="1"/>
    <col min="13576" max="13576" width="9.1796875" style="1" bestFit="1" customWidth="1"/>
    <col min="13577" max="13577" width="12.7265625" style="1" bestFit="1" customWidth="1"/>
    <col min="13578" max="13578" width="11.7265625" style="1" customWidth="1"/>
    <col min="13579" max="13579" width="29.54296875" style="1" customWidth="1"/>
    <col min="13580" max="13580" width="16.453125" style="1" customWidth="1"/>
    <col min="13581" max="13581" width="16.453125" style="1" bestFit="1" customWidth="1"/>
    <col min="13582" max="13582" width="17.1796875" style="1" bestFit="1" customWidth="1"/>
    <col min="13583" max="13583" width="9.54296875" style="1" customWidth="1"/>
    <col min="13584" max="13830" width="9" style="1"/>
    <col min="13831" max="13831" width="33.1796875" style="1" customWidth="1"/>
    <col min="13832" max="13832" width="9.1796875" style="1" bestFit="1" customWidth="1"/>
    <col min="13833" max="13833" width="12.7265625" style="1" bestFit="1" customWidth="1"/>
    <col min="13834" max="13834" width="11.7265625" style="1" customWidth="1"/>
    <col min="13835" max="13835" width="29.54296875" style="1" customWidth="1"/>
    <col min="13836" max="13836" width="16.453125" style="1" customWidth="1"/>
    <col min="13837" max="13837" width="16.453125" style="1" bestFit="1" customWidth="1"/>
    <col min="13838" max="13838" width="17.1796875" style="1" bestFit="1" customWidth="1"/>
    <col min="13839" max="13839" width="9.54296875" style="1" customWidth="1"/>
    <col min="13840" max="14086" width="9" style="1"/>
    <col min="14087" max="14087" width="33.1796875" style="1" customWidth="1"/>
    <col min="14088" max="14088" width="9.1796875" style="1" bestFit="1" customWidth="1"/>
    <col min="14089" max="14089" width="12.7265625" style="1" bestFit="1" customWidth="1"/>
    <col min="14090" max="14090" width="11.7265625" style="1" customWidth="1"/>
    <col min="14091" max="14091" width="29.54296875" style="1" customWidth="1"/>
    <col min="14092" max="14092" width="16.453125" style="1" customWidth="1"/>
    <col min="14093" max="14093" width="16.453125" style="1" bestFit="1" customWidth="1"/>
    <col min="14094" max="14094" width="17.1796875" style="1" bestFit="1" customWidth="1"/>
    <col min="14095" max="14095" width="9.54296875" style="1" customWidth="1"/>
    <col min="14096" max="14342" width="9" style="1"/>
    <col min="14343" max="14343" width="33.1796875" style="1" customWidth="1"/>
    <col min="14344" max="14344" width="9.1796875" style="1" bestFit="1" customWidth="1"/>
    <col min="14345" max="14345" width="12.7265625" style="1" bestFit="1" customWidth="1"/>
    <col min="14346" max="14346" width="11.7265625" style="1" customWidth="1"/>
    <col min="14347" max="14347" width="29.54296875" style="1" customWidth="1"/>
    <col min="14348" max="14348" width="16.453125" style="1" customWidth="1"/>
    <col min="14349" max="14349" width="16.453125" style="1" bestFit="1" customWidth="1"/>
    <col min="14350" max="14350" width="17.1796875" style="1" bestFit="1" customWidth="1"/>
    <col min="14351" max="14351" width="9.54296875" style="1" customWidth="1"/>
    <col min="14352" max="14598" width="9" style="1"/>
    <col min="14599" max="14599" width="33.1796875" style="1" customWidth="1"/>
    <col min="14600" max="14600" width="9.1796875" style="1" bestFit="1" customWidth="1"/>
    <col min="14601" max="14601" width="12.7265625" style="1" bestFit="1" customWidth="1"/>
    <col min="14602" max="14602" width="11.7265625" style="1" customWidth="1"/>
    <col min="14603" max="14603" width="29.54296875" style="1" customWidth="1"/>
    <col min="14604" max="14604" width="16.453125" style="1" customWidth="1"/>
    <col min="14605" max="14605" width="16.453125" style="1" bestFit="1" customWidth="1"/>
    <col min="14606" max="14606" width="17.1796875" style="1" bestFit="1" customWidth="1"/>
    <col min="14607" max="14607" width="9.54296875" style="1" customWidth="1"/>
    <col min="14608" max="14854" width="9" style="1"/>
    <col min="14855" max="14855" width="33.1796875" style="1" customWidth="1"/>
    <col min="14856" max="14856" width="9.1796875" style="1" bestFit="1" customWidth="1"/>
    <col min="14857" max="14857" width="12.7265625" style="1" bestFit="1" customWidth="1"/>
    <col min="14858" max="14858" width="11.7265625" style="1" customWidth="1"/>
    <col min="14859" max="14859" width="29.54296875" style="1" customWidth="1"/>
    <col min="14860" max="14860" width="16.453125" style="1" customWidth="1"/>
    <col min="14861" max="14861" width="16.453125" style="1" bestFit="1" customWidth="1"/>
    <col min="14862" max="14862" width="17.1796875" style="1" bestFit="1" customWidth="1"/>
    <col min="14863" max="14863" width="9.54296875" style="1" customWidth="1"/>
    <col min="14864" max="15110" width="9" style="1"/>
    <col min="15111" max="15111" width="33.1796875" style="1" customWidth="1"/>
    <col min="15112" max="15112" width="9.1796875" style="1" bestFit="1" customWidth="1"/>
    <col min="15113" max="15113" width="12.7265625" style="1" bestFit="1" customWidth="1"/>
    <col min="15114" max="15114" width="11.7265625" style="1" customWidth="1"/>
    <col min="15115" max="15115" width="29.54296875" style="1" customWidth="1"/>
    <col min="15116" max="15116" width="16.453125" style="1" customWidth="1"/>
    <col min="15117" max="15117" width="16.453125" style="1" bestFit="1" customWidth="1"/>
    <col min="15118" max="15118" width="17.1796875" style="1" bestFit="1" customWidth="1"/>
    <col min="15119" max="15119" width="9.54296875" style="1" customWidth="1"/>
    <col min="15120" max="15366" width="9" style="1"/>
    <col min="15367" max="15367" width="33.1796875" style="1" customWidth="1"/>
    <col min="15368" max="15368" width="9.1796875" style="1" bestFit="1" customWidth="1"/>
    <col min="15369" max="15369" width="12.7265625" style="1" bestFit="1" customWidth="1"/>
    <col min="15370" max="15370" width="11.7265625" style="1" customWidth="1"/>
    <col min="15371" max="15371" width="29.54296875" style="1" customWidth="1"/>
    <col min="15372" max="15372" width="16.453125" style="1" customWidth="1"/>
    <col min="15373" max="15373" width="16.453125" style="1" bestFit="1" customWidth="1"/>
    <col min="15374" max="15374" width="17.1796875" style="1" bestFit="1" customWidth="1"/>
    <col min="15375" max="15375" width="9.54296875" style="1" customWidth="1"/>
    <col min="15376" max="15622" width="9" style="1"/>
    <col min="15623" max="15623" width="33.1796875" style="1" customWidth="1"/>
    <col min="15624" max="15624" width="9.1796875" style="1" bestFit="1" customWidth="1"/>
    <col min="15625" max="15625" width="12.7265625" style="1" bestFit="1" customWidth="1"/>
    <col min="15626" max="15626" width="11.7265625" style="1" customWidth="1"/>
    <col min="15627" max="15627" width="29.54296875" style="1" customWidth="1"/>
    <col min="15628" max="15628" width="16.453125" style="1" customWidth="1"/>
    <col min="15629" max="15629" width="16.453125" style="1" bestFit="1" customWidth="1"/>
    <col min="15630" max="15630" width="17.1796875" style="1" bestFit="1" customWidth="1"/>
    <col min="15631" max="15631" width="9.54296875" style="1" customWidth="1"/>
    <col min="15632" max="15878" width="9" style="1"/>
    <col min="15879" max="15879" width="33.1796875" style="1" customWidth="1"/>
    <col min="15880" max="15880" width="9.1796875" style="1" bestFit="1" customWidth="1"/>
    <col min="15881" max="15881" width="12.7265625" style="1" bestFit="1" customWidth="1"/>
    <col min="15882" max="15882" width="11.7265625" style="1" customWidth="1"/>
    <col min="15883" max="15883" width="29.54296875" style="1" customWidth="1"/>
    <col min="15884" max="15884" width="16.453125" style="1" customWidth="1"/>
    <col min="15885" max="15885" width="16.453125" style="1" bestFit="1" customWidth="1"/>
    <col min="15886" max="15886" width="17.1796875" style="1" bestFit="1" customWidth="1"/>
    <col min="15887" max="15887" width="9.54296875" style="1" customWidth="1"/>
    <col min="15888" max="16134" width="9" style="1"/>
    <col min="16135" max="16135" width="33.1796875" style="1" customWidth="1"/>
    <col min="16136" max="16136" width="9.1796875" style="1" bestFit="1" customWidth="1"/>
    <col min="16137" max="16137" width="12.7265625" style="1" bestFit="1" customWidth="1"/>
    <col min="16138" max="16138" width="11.7265625" style="1" customWidth="1"/>
    <col min="16139" max="16139" width="29.54296875" style="1" customWidth="1"/>
    <col min="16140" max="16140" width="16.453125" style="1" customWidth="1"/>
    <col min="16141" max="16141" width="16.453125" style="1" bestFit="1" customWidth="1"/>
    <col min="16142" max="16142" width="17.1796875" style="1" bestFit="1" customWidth="1"/>
    <col min="16143" max="16143" width="9.54296875" style="1" customWidth="1"/>
    <col min="16144" max="16384" width="9" style="1"/>
  </cols>
  <sheetData>
    <row r="2" spans="1:17" ht="15" customHeight="1" x14ac:dyDescent="0.3">
      <c r="A2" s="101" t="s">
        <v>165</v>
      </c>
      <c r="B2" s="60"/>
      <c r="C2" s="60"/>
      <c r="D2" s="60"/>
      <c r="E2" s="60"/>
      <c r="F2" s="60"/>
      <c r="G2" s="60" t="s">
        <v>167</v>
      </c>
      <c r="H2" s="60"/>
      <c r="I2" s="60"/>
      <c r="J2" s="60"/>
      <c r="K2" s="60"/>
    </row>
    <row r="3" spans="1:17" ht="13" x14ac:dyDescent="0.3">
      <c r="C3" s="2"/>
      <c r="D3" s="2"/>
    </row>
    <row r="4" spans="1:17" ht="52" x14ac:dyDescent="0.3">
      <c r="A4" s="3" t="s">
        <v>83</v>
      </c>
      <c r="C4" s="4"/>
      <c r="D4" s="4"/>
      <c r="G4" s="80" t="s">
        <v>168</v>
      </c>
      <c r="H4" s="79" t="s">
        <v>169</v>
      </c>
      <c r="I4" s="79" t="s">
        <v>170</v>
      </c>
      <c r="J4" s="79" t="s">
        <v>171</v>
      </c>
      <c r="K4" s="79" t="s">
        <v>172</v>
      </c>
      <c r="L4" s="79" t="s">
        <v>173</v>
      </c>
      <c r="M4" s="79" t="s">
        <v>174</v>
      </c>
      <c r="N4" s="79" t="s">
        <v>175</v>
      </c>
      <c r="O4" s="79" t="s">
        <v>176</v>
      </c>
      <c r="P4" s="79" t="s">
        <v>177</v>
      </c>
      <c r="Q4" s="79" t="s">
        <v>178</v>
      </c>
    </row>
    <row r="5" spans="1:17" ht="15.75" customHeight="1" x14ac:dyDescent="0.25">
      <c r="A5" s="108" t="s">
        <v>84</v>
      </c>
      <c r="G5" s="1">
        <v>101</v>
      </c>
      <c r="H5" s="1">
        <v>1743</v>
      </c>
      <c r="I5" s="1">
        <v>60</v>
      </c>
      <c r="J5" s="1">
        <v>6213</v>
      </c>
      <c r="K5" s="1">
        <v>1050</v>
      </c>
      <c r="L5" s="1">
        <v>360</v>
      </c>
      <c r="M5" s="1">
        <f>13*I5</f>
        <v>780</v>
      </c>
      <c r="N5" s="1">
        <v>828</v>
      </c>
      <c r="O5" s="1">
        <v>180</v>
      </c>
      <c r="P5" s="1">
        <v>3500</v>
      </c>
      <c r="Q5" s="1">
        <f>J5+K5+L5+M5</f>
        <v>8403</v>
      </c>
    </row>
    <row r="6" spans="1:17" ht="15.75" customHeight="1" x14ac:dyDescent="0.25">
      <c r="A6" s="108" t="s">
        <v>85</v>
      </c>
      <c r="B6" s="113" t="s">
        <v>89</v>
      </c>
      <c r="G6" s="1">
        <v>102</v>
      </c>
      <c r="H6" s="1">
        <v>1692</v>
      </c>
      <c r="I6" s="1">
        <v>60</v>
      </c>
      <c r="J6" s="1">
        <v>6301</v>
      </c>
      <c r="K6" s="1">
        <v>1050</v>
      </c>
      <c r="L6" s="1">
        <v>360</v>
      </c>
      <c r="M6" s="1">
        <f t="shared" ref="M6:M7" si="0">13*I6</f>
        <v>780</v>
      </c>
      <c r="N6" s="1">
        <v>828</v>
      </c>
      <c r="O6" s="1">
        <v>180</v>
      </c>
      <c r="P6" s="1">
        <v>3500</v>
      </c>
      <c r="Q6" s="1">
        <f t="shared" ref="Q6:Q7" si="1">J6+K6+L6+M6</f>
        <v>8491</v>
      </c>
    </row>
    <row r="7" spans="1:17" ht="15.75" customHeight="1" x14ac:dyDescent="0.25">
      <c r="A7" s="113" t="s">
        <v>166</v>
      </c>
      <c r="B7" s="113" t="s">
        <v>4</v>
      </c>
      <c r="G7" s="1">
        <v>103</v>
      </c>
      <c r="H7" s="1">
        <v>1592</v>
      </c>
      <c r="I7" s="1">
        <v>60</v>
      </c>
      <c r="J7" s="1">
        <v>6492</v>
      </c>
      <c r="K7" s="1">
        <v>1050</v>
      </c>
      <c r="L7" s="1">
        <v>360</v>
      </c>
      <c r="M7" s="1">
        <f t="shared" si="0"/>
        <v>780</v>
      </c>
      <c r="N7" s="1">
        <v>828</v>
      </c>
      <c r="O7" s="1">
        <v>180</v>
      </c>
      <c r="P7" s="1">
        <v>3500</v>
      </c>
      <c r="Q7" s="1">
        <f t="shared" si="1"/>
        <v>8682</v>
      </c>
    </row>
    <row r="8" spans="1:17" ht="15.75" customHeight="1" x14ac:dyDescent="0.25">
      <c r="A8" s="113" t="s">
        <v>87</v>
      </c>
      <c r="B8" s="113">
        <v>6416</v>
      </c>
      <c r="G8" s="78">
        <v>104</v>
      </c>
      <c r="H8" s="78">
        <v>970</v>
      </c>
      <c r="I8" s="78"/>
      <c r="J8" s="78"/>
      <c r="K8" s="78"/>
      <c r="L8" s="78"/>
      <c r="M8" s="78"/>
      <c r="N8" s="78"/>
      <c r="O8" s="78"/>
      <c r="P8" s="78"/>
      <c r="Q8" s="78"/>
    </row>
    <row r="9" spans="1:17" ht="15.75" customHeight="1" x14ac:dyDescent="0.3">
      <c r="A9" s="113" t="s">
        <v>88</v>
      </c>
      <c r="B9" s="113" t="s">
        <v>5</v>
      </c>
      <c r="G9" s="77"/>
      <c r="H9" s="77">
        <f>SUM(H5:H8)</f>
        <v>5997</v>
      </c>
      <c r="I9" s="77">
        <f>SUM(I5:I8)</f>
        <v>180</v>
      </c>
      <c r="J9" s="77">
        <f>SUM(J5:J8)</f>
        <v>19006</v>
      </c>
      <c r="K9" s="77">
        <f t="shared" ref="K9:M9" si="2">SUM(K5:K8)</f>
        <v>3150</v>
      </c>
      <c r="L9" s="77">
        <f t="shared" si="2"/>
        <v>1080</v>
      </c>
      <c r="M9" s="77">
        <f t="shared" si="2"/>
        <v>2340</v>
      </c>
      <c r="N9" s="77">
        <f t="shared" ref="N9:O9" si="3">SUM(N5:N8)</f>
        <v>2484</v>
      </c>
      <c r="O9" s="77">
        <f t="shared" si="3"/>
        <v>540</v>
      </c>
      <c r="P9" s="77">
        <f t="shared" ref="P9" si="4">SUM(P5:P8)</f>
        <v>10500</v>
      </c>
      <c r="Q9" s="77">
        <f t="shared" ref="Q9" si="5">SUM(Q5:Q8)</f>
        <v>25576</v>
      </c>
    </row>
    <row r="10" spans="1:17" ht="15.75" customHeight="1" x14ac:dyDescent="0.25"/>
    <row r="11" spans="1:17" ht="15.75" customHeight="1" x14ac:dyDescent="0.25"/>
    <row r="12" spans="1:17" ht="15.75" customHeight="1" thickBot="1" x14ac:dyDescent="0.3"/>
    <row r="13" spans="1:17" s="7" customFormat="1" ht="17.25" customHeight="1" thickTop="1" x14ac:dyDescent="0.25">
      <c r="A13" s="5" t="s">
        <v>90</v>
      </c>
      <c r="B13" s="6">
        <v>5997</v>
      </c>
    </row>
    <row r="14" spans="1:17" s="7" customFormat="1" ht="15" customHeight="1" x14ac:dyDescent="0.25">
      <c r="A14" s="124" t="s">
        <v>129</v>
      </c>
      <c r="B14" s="13">
        <f>H8</f>
        <v>970</v>
      </c>
      <c r="E14" s="9"/>
    </row>
    <row r="15" spans="1:17" s="7" customFormat="1" ht="13" x14ac:dyDescent="0.3">
      <c r="A15" s="8" t="s">
        <v>92</v>
      </c>
      <c r="B15" s="13">
        <f>P9</f>
        <v>10500</v>
      </c>
      <c r="C15" s="7">
        <f>144*2+36*1</f>
        <v>324</v>
      </c>
      <c r="E15" s="9"/>
      <c r="F15" s="10"/>
      <c r="L15" s="11"/>
      <c r="M15" s="11"/>
      <c r="Q15" s="7">
        <f>324*32</f>
        <v>10368</v>
      </c>
    </row>
    <row r="16" spans="1:17" s="7" customFormat="1" x14ac:dyDescent="0.25">
      <c r="A16" s="8" t="s">
        <v>91</v>
      </c>
      <c r="B16" s="13">
        <f>Q9</f>
        <v>25576</v>
      </c>
      <c r="C16" s="7">
        <f>B16/B84</f>
        <v>142.0888888888889</v>
      </c>
      <c r="E16" s="12"/>
    </row>
    <row r="17" spans="1:9" s="7" customFormat="1" x14ac:dyDescent="0.25">
      <c r="A17" s="8" t="s">
        <v>93</v>
      </c>
      <c r="B17" s="13">
        <f>N9+O9</f>
        <v>3024</v>
      </c>
      <c r="C17" s="7">
        <f>B17/B84</f>
        <v>16.8</v>
      </c>
      <c r="G17" s="11"/>
      <c r="H17" s="11"/>
      <c r="I17" s="11"/>
    </row>
    <row r="18" spans="1:9" s="7" customFormat="1" x14ac:dyDescent="0.25">
      <c r="A18" s="8" t="s">
        <v>94</v>
      </c>
      <c r="B18" s="13">
        <v>0</v>
      </c>
    </row>
    <row r="19" spans="1:9" s="7" customFormat="1" x14ac:dyDescent="0.25">
      <c r="A19" s="8" t="s">
        <v>114</v>
      </c>
      <c r="B19" s="13">
        <f>9*100</f>
        <v>900</v>
      </c>
    </row>
    <row r="20" spans="1:9" s="7" customFormat="1" x14ac:dyDescent="0.25">
      <c r="A20" s="8" t="s">
        <v>95</v>
      </c>
      <c r="B20" s="13">
        <v>1500</v>
      </c>
    </row>
    <row r="21" spans="1:9" s="7" customFormat="1" x14ac:dyDescent="0.25">
      <c r="A21" s="14"/>
      <c r="B21" s="14"/>
    </row>
    <row r="22" spans="1:9" s="7" customFormat="1" x14ac:dyDescent="0.25"/>
    <row r="23" spans="1:9" s="15" customFormat="1" x14ac:dyDescent="0.25"/>
    <row r="24" spans="1:9" s="15" customFormat="1" ht="13" x14ac:dyDescent="0.3">
      <c r="A24" s="3" t="s">
        <v>96</v>
      </c>
      <c r="F24" s="98"/>
    </row>
    <row r="25" spans="1:9" s="15" customFormat="1" ht="13.5" thickBot="1" x14ac:dyDescent="0.35">
      <c r="A25" s="3"/>
      <c r="F25" s="98"/>
    </row>
    <row r="26" spans="1:9" s="19" customFormat="1" ht="13.5" thickTop="1" x14ac:dyDescent="0.3">
      <c r="A26" s="16" t="s">
        <v>123</v>
      </c>
      <c r="B26" s="17" t="s">
        <v>179</v>
      </c>
      <c r="C26" s="18" t="s">
        <v>99</v>
      </c>
      <c r="D26" s="87"/>
      <c r="F26" s="99"/>
    </row>
    <row r="27" spans="1:9" s="15" customFormat="1" x14ac:dyDescent="0.25">
      <c r="A27" s="20" t="s">
        <v>105</v>
      </c>
      <c r="B27" s="21" t="s">
        <v>100</v>
      </c>
      <c r="C27" s="13">
        <f>'Raskin Option'!C27</f>
        <v>105556</v>
      </c>
      <c r="D27" s="14"/>
      <c r="F27" s="61"/>
    </row>
    <row r="28" spans="1:9" s="15" customFormat="1" x14ac:dyDescent="0.25">
      <c r="A28" s="20" t="s">
        <v>106</v>
      </c>
      <c r="B28" s="21" t="s">
        <v>100</v>
      </c>
      <c r="C28" s="13">
        <f>'Raskin Option'!C28</f>
        <v>300000</v>
      </c>
      <c r="D28" s="14"/>
      <c r="F28" s="61"/>
    </row>
    <row r="29" spans="1:9" s="15" customFormat="1" x14ac:dyDescent="0.25">
      <c r="A29" s="20" t="s">
        <v>107</v>
      </c>
      <c r="B29" s="21" t="s">
        <v>101</v>
      </c>
      <c r="C29" s="13">
        <f>'Raskin Option'!C29</f>
        <v>0</v>
      </c>
      <c r="D29" s="14"/>
      <c r="F29" s="98"/>
    </row>
    <row r="30" spans="1:9" s="7" customFormat="1" x14ac:dyDescent="0.25">
      <c r="A30" s="8" t="s">
        <v>109</v>
      </c>
      <c r="B30" s="25" t="s">
        <v>101</v>
      </c>
      <c r="C30" s="26">
        <f>'Raskin Option'!C30</f>
        <v>0.05</v>
      </c>
      <c r="D30" s="88"/>
      <c r="F30" s="100"/>
    </row>
    <row r="31" spans="1:9" s="7" customFormat="1" ht="25.5" x14ac:dyDescent="0.3">
      <c r="A31" s="124" t="s">
        <v>110</v>
      </c>
      <c r="B31" s="23" t="s">
        <v>102</v>
      </c>
      <c r="C31" s="26">
        <f>'Raskin Option'!C31</f>
        <v>0.02</v>
      </c>
      <c r="D31" s="88"/>
      <c r="F31" s="99"/>
    </row>
    <row r="32" spans="1:9" s="15" customFormat="1" x14ac:dyDescent="0.25">
      <c r="A32" s="20" t="s">
        <v>113</v>
      </c>
      <c r="B32" s="23" t="s">
        <v>103</v>
      </c>
      <c r="C32" s="13">
        <f>'Raskin Option'!C32</f>
        <v>2800</v>
      </c>
      <c r="D32" s="14"/>
      <c r="F32" s="61"/>
    </row>
    <row r="33" spans="1:13" s="15" customFormat="1" x14ac:dyDescent="0.25">
      <c r="A33" s="20" t="s">
        <v>112</v>
      </c>
      <c r="B33" s="23" t="s">
        <v>103</v>
      </c>
      <c r="C33" s="13">
        <f>'Raskin Option'!C33</f>
        <v>4800</v>
      </c>
      <c r="D33" s="14"/>
      <c r="F33" s="61"/>
    </row>
    <row r="34" spans="1:13" s="15" customFormat="1" x14ac:dyDescent="0.25">
      <c r="A34" s="20" t="s">
        <v>111</v>
      </c>
      <c r="B34" s="23" t="s">
        <v>103</v>
      </c>
      <c r="C34" s="13">
        <f>'Raskin Option'!C34</f>
        <v>2500</v>
      </c>
      <c r="D34" s="14"/>
      <c r="F34" s="61"/>
    </row>
    <row r="35" spans="1:13" s="15" customFormat="1" x14ac:dyDescent="0.25">
      <c r="A35" s="20" t="s">
        <v>115</v>
      </c>
      <c r="B35" s="23" t="s">
        <v>103</v>
      </c>
      <c r="C35" s="13">
        <f>'Raskin Option'!C35</f>
        <v>1500</v>
      </c>
      <c r="D35" s="14"/>
      <c r="F35" s="41"/>
    </row>
    <row r="36" spans="1:13" s="15" customFormat="1" x14ac:dyDescent="0.25">
      <c r="A36" s="20" t="s">
        <v>116</v>
      </c>
      <c r="B36" s="23" t="s">
        <v>100</v>
      </c>
      <c r="C36" s="13">
        <f>'Raskin Option'!C36</f>
        <v>3500</v>
      </c>
      <c r="D36" s="14"/>
    </row>
    <row r="37" spans="1:13" s="15" customFormat="1" x14ac:dyDescent="0.25">
      <c r="A37" s="20" t="s">
        <v>117</v>
      </c>
      <c r="B37" s="23" t="s">
        <v>100</v>
      </c>
      <c r="C37" s="13">
        <f>'Raskin Option'!C37</f>
        <v>20000</v>
      </c>
      <c r="D37" s="14"/>
    </row>
    <row r="38" spans="1:13" s="15" customFormat="1" x14ac:dyDescent="0.25">
      <c r="A38" s="20" t="s">
        <v>118</v>
      </c>
      <c r="B38" s="111" t="s">
        <v>104</v>
      </c>
      <c r="C38" s="30">
        <v>0.03</v>
      </c>
      <c r="D38" s="89"/>
    </row>
    <row r="39" spans="1:13" s="15" customFormat="1" ht="25" x14ac:dyDescent="0.25">
      <c r="A39" s="127" t="s">
        <v>119</v>
      </c>
      <c r="B39" s="23" t="s">
        <v>102</v>
      </c>
      <c r="C39" s="30">
        <f>'Raskin Option'!C39</f>
        <v>0.01</v>
      </c>
      <c r="D39" s="89"/>
    </row>
    <row r="40" spans="1:13" s="15" customFormat="1" x14ac:dyDescent="0.25">
      <c r="A40" s="20" t="s">
        <v>120</v>
      </c>
      <c r="B40" s="23" t="s">
        <v>102</v>
      </c>
      <c r="C40" s="30">
        <f>'Raskin Option'!C40</f>
        <v>0.06</v>
      </c>
      <c r="D40" s="89"/>
    </row>
    <row r="41" spans="1:13" s="15" customFormat="1" x14ac:dyDescent="0.25">
      <c r="A41" s="20" t="s">
        <v>121</v>
      </c>
      <c r="B41" s="23" t="s">
        <v>102</v>
      </c>
      <c r="C41" s="30">
        <f>'Raskin Option'!C41</f>
        <v>2.5000000000000001E-2</v>
      </c>
      <c r="D41" s="89"/>
    </row>
    <row r="42" spans="1:13" s="15" customFormat="1" x14ac:dyDescent="0.25">
      <c r="A42" s="32" t="s">
        <v>122</v>
      </c>
      <c r="B42" s="33" t="s">
        <v>103</v>
      </c>
      <c r="C42" s="13">
        <f>'Raskin Option'!C42</f>
        <v>500</v>
      </c>
      <c r="D42" s="14"/>
    </row>
    <row r="43" spans="1:13" s="15" customFormat="1" ht="13" thickBot="1" x14ac:dyDescent="0.3">
      <c r="A43" s="34" t="s">
        <v>124</v>
      </c>
      <c r="B43" s="35" t="s">
        <v>102</v>
      </c>
      <c r="C43" s="62">
        <f>'Raskin Option'!C43</f>
        <v>0.05</v>
      </c>
      <c r="D43" s="88"/>
    </row>
    <row r="44" spans="1:13" s="15" customFormat="1" ht="13.5" thickTop="1" x14ac:dyDescent="0.3">
      <c r="A44" s="37"/>
      <c r="B44" s="37"/>
      <c r="C44" s="37"/>
      <c r="D44" s="37"/>
      <c r="M44" s="40"/>
    </row>
    <row r="45" spans="1:13" s="15" customFormat="1" ht="13" x14ac:dyDescent="0.3">
      <c r="A45" s="3"/>
      <c r="B45" s="3"/>
      <c r="C45" s="3"/>
      <c r="D45" s="3"/>
    </row>
    <row r="46" spans="1:13" s="15" customFormat="1" ht="13" x14ac:dyDescent="0.3">
      <c r="A46" s="3" t="s">
        <v>125</v>
      </c>
      <c r="J46" s="41"/>
      <c r="K46" s="41"/>
    </row>
    <row r="47" spans="1:13" s="15" customFormat="1" ht="13.5" thickBot="1" x14ac:dyDescent="0.35">
      <c r="A47" s="3"/>
      <c r="J47" s="41"/>
      <c r="K47" s="41"/>
    </row>
    <row r="48" spans="1:13" s="15" customFormat="1" ht="13.5" thickTop="1" x14ac:dyDescent="0.3">
      <c r="A48" s="16" t="s">
        <v>123</v>
      </c>
      <c r="B48" s="17" t="s">
        <v>98</v>
      </c>
      <c r="C48" s="17" t="s">
        <v>127</v>
      </c>
      <c r="D48" s="90" t="s">
        <v>128</v>
      </c>
      <c r="E48" s="46" t="s">
        <v>126</v>
      </c>
      <c r="F48" s="3"/>
      <c r="J48" s="41"/>
      <c r="K48" s="41"/>
    </row>
    <row r="49" spans="1:11" s="15" customFormat="1" ht="13" x14ac:dyDescent="0.3">
      <c r="A49" s="22" t="str">
        <f>+A27</f>
        <v>Development levies and building fees</v>
      </c>
      <c r="B49" s="23" t="s">
        <v>103</v>
      </c>
      <c r="C49" s="23">
        <f>B15+B16+B17+B19</f>
        <v>40000</v>
      </c>
      <c r="D49" s="91">
        <v>410</v>
      </c>
      <c r="E49" s="13">
        <f>C49*D49</f>
        <v>16400000</v>
      </c>
      <c r="F49" s="3"/>
      <c r="J49" s="41">
        <f>G49/180</f>
        <v>0</v>
      </c>
      <c r="K49" s="41"/>
    </row>
    <row r="50" spans="1:11" s="15" customFormat="1" ht="25" x14ac:dyDescent="0.25">
      <c r="A50" s="127" t="s">
        <v>226</v>
      </c>
      <c r="B50" s="23" t="str">
        <f>+B28</f>
        <v>Residential unit</v>
      </c>
      <c r="C50" s="23">
        <f>B84</f>
        <v>180</v>
      </c>
      <c r="D50" s="91"/>
      <c r="E50" s="13">
        <v>15000000</v>
      </c>
      <c r="F50" s="41" t="s">
        <v>219</v>
      </c>
      <c r="J50" s="41"/>
      <c r="K50" s="41"/>
    </row>
    <row r="51" spans="1:11" s="15" customFormat="1" x14ac:dyDescent="0.25">
      <c r="A51" s="20" t="s">
        <v>109</v>
      </c>
      <c r="B51" s="25">
        <f>1200000*90</f>
        <v>108000000</v>
      </c>
      <c r="C51" s="27">
        <v>0.05</v>
      </c>
      <c r="D51" s="92"/>
      <c r="E51" s="13">
        <f>B51*C51</f>
        <v>5400000</v>
      </c>
      <c r="F51" s="28"/>
      <c r="J51" s="41"/>
      <c r="K51" s="41"/>
    </row>
    <row r="52" spans="1:11" s="15" customFormat="1" ht="37.5" x14ac:dyDescent="0.25">
      <c r="A52" s="127" t="s">
        <v>193</v>
      </c>
      <c r="B52" s="25"/>
      <c r="C52" s="27"/>
      <c r="D52" s="92"/>
      <c r="E52" s="13">
        <v>8800000</v>
      </c>
      <c r="F52" s="120" t="s">
        <v>224</v>
      </c>
      <c r="J52" s="41"/>
      <c r="K52" s="41"/>
    </row>
    <row r="53" spans="1:11" s="15" customFormat="1" ht="75" x14ac:dyDescent="0.25">
      <c r="A53" s="127" t="str">
        <f>+A31</f>
        <v>Entrepreneurship fees / project overhead</v>
      </c>
      <c r="B53" s="25" t="str">
        <f>+B31</f>
        <v>Percent</v>
      </c>
      <c r="C53" s="30">
        <v>0.03</v>
      </c>
      <c r="D53" s="30"/>
      <c r="E53" s="13">
        <v>6000000</v>
      </c>
      <c r="F53" s="120" t="s">
        <v>199</v>
      </c>
      <c r="J53" s="41"/>
      <c r="K53" s="41"/>
    </row>
    <row r="54" spans="1:11" s="15" customFormat="1" x14ac:dyDescent="0.25">
      <c r="A54" s="20" t="s">
        <v>113</v>
      </c>
      <c r="B54" s="23" t="s">
        <v>103</v>
      </c>
      <c r="C54" s="23">
        <f>B15</f>
        <v>10500</v>
      </c>
      <c r="D54" s="91"/>
      <c r="E54" s="13">
        <f>+C54*C32</f>
        <v>29400000</v>
      </c>
      <c r="J54" s="41"/>
      <c r="K54" s="41"/>
    </row>
    <row r="55" spans="1:11" s="15" customFormat="1" x14ac:dyDescent="0.25">
      <c r="A55" s="20" t="s">
        <v>112</v>
      </c>
      <c r="B55" s="23" t="s">
        <v>103</v>
      </c>
      <c r="C55" s="23">
        <f>B16</f>
        <v>25576</v>
      </c>
      <c r="D55" s="91"/>
      <c r="E55" s="13">
        <f>+C55*C33</f>
        <v>122764800</v>
      </c>
      <c r="J55" s="41"/>
      <c r="K55" s="41"/>
    </row>
    <row r="56" spans="1:11" s="15" customFormat="1" x14ac:dyDescent="0.25">
      <c r="A56" s="20" t="s">
        <v>111</v>
      </c>
      <c r="B56" s="23" t="s">
        <v>103</v>
      </c>
      <c r="C56" s="23">
        <f>B17+B18</f>
        <v>3024</v>
      </c>
      <c r="D56" s="91"/>
      <c r="E56" s="13">
        <f>+C56*C34</f>
        <v>7560000</v>
      </c>
      <c r="F56" s="75" t="s">
        <v>194</v>
      </c>
      <c r="J56" s="41"/>
      <c r="K56" s="41"/>
    </row>
    <row r="57" spans="1:11" s="15" customFormat="1" x14ac:dyDescent="0.25">
      <c r="A57" s="20" t="s">
        <v>115</v>
      </c>
      <c r="B57" s="23" t="s">
        <v>103</v>
      </c>
      <c r="C57" s="23">
        <f>B19</f>
        <v>900</v>
      </c>
      <c r="D57" s="91"/>
      <c r="E57" s="13">
        <f>+C57*C35</f>
        <v>1350000</v>
      </c>
      <c r="F57" s="7">
        <f>E54+E55+E56+E57+E58+E59</f>
        <v>162574800</v>
      </c>
      <c r="J57" s="41"/>
      <c r="K57" s="41"/>
    </row>
    <row r="58" spans="1:11" s="15" customFormat="1" ht="25" x14ac:dyDescent="0.25">
      <c r="A58" s="20" t="s">
        <v>133</v>
      </c>
      <c r="B58" s="23"/>
      <c r="C58" s="23"/>
      <c r="D58" s="91"/>
      <c r="E58" s="13">
        <v>1000000</v>
      </c>
      <c r="F58" s="15">
        <f>F57/180</f>
        <v>903193.33333333337</v>
      </c>
      <c r="G58" s="125" t="s">
        <v>225</v>
      </c>
      <c r="J58" s="41"/>
      <c r="K58" s="41"/>
    </row>
    <row r="59" spans="1:11" s="15" customFormat="1" x14ac:dyDescent="0.25">
      <c r="A59" s="20" t="s">
        <v>132</v>
      </c>
      <c r="B59" s="23"/>
      <c r="C59" s="23"/>
      <c r="D59" s="91"/>
      <c r="E59" s="13">
        <v>500000</v>
      </c>
      <c r="J59" s="41"/>
      <c r="K59" s="41"/>
    </row>
    <row r="60" spans="1:11" s="15" customFormat="1" x14ac:dyDescent="0.25">
      <c r="A60" s="20" t="s">
        <v>116</v>
      </c>
      <c r="B60" s="23" t="s">
        <v>100</v>
      </c>
      <c r="C60" s="23">
        <v>180</v>
      </c>
      <c r="D60" s="91"/>
      <c r="E60" s="13">
        <f>+C60*C36</f>
        <v>630000</v>
      </c>
      <c r="J60" s="41"/>
      <c r="K60" s="41"/>
    </row>
    <row r="61" spans="1:11" s="15" customFormat="1" x14ac:dyDescent="0.25">
      <c r="A61" s="20" t="s">
        <v>117</v>
      </c>
      <c r="B61" s="23" t="s">
        <v>100</v>
      </c>
      <c r="C61" s="23">
        <v>180</v>
      </c>
      <c r="D61" s="91"/>
      <c r="E61" s="13">
        <f>+C61*C37</f>
        <v>3600000</v>
      </c>
      <c r="J61" s="41"/>
      <c r="K61" s="41"/>
    </row>
    <row r="62" spans="1:11" s="15" customFormat="1" x14ac:dyDescent="0.25">
      <c r="A62" s="20" t="s">
        <v>118</v>
      </c>
      <c r="B62" s="23" t="str">
        <f>+B38</f>
        <v>Percent of direct construction cost</v>
      </c>
      <c r="C62" s="31">
        <f>C38</f>
        <v>0.03</v>
      </c>
      <c r="D62" s="93"/>
      <c r="E62" s="13">
        <f>C62*F57</f>
        <v>4877244</v>
      </c>
      <c r="J62" s="41"/>
      <c r="K62" s="41"/>
    </row>
    <row r="63" spans="1:11" s="15" customFormat="1" ht="26" x14ac:dyDescent="0.3">
      <c r="A63" s="127" t="str">
        <f>A39</f>
        <v>Guarantees for residents and property owners</v>
      </c>
      <c r="B63" s="23" t="str">
        <f>B39</f>
        <v>Percent</v>
      </c>
      <c r="C63" s="31">
        <f>C39</f>
        <v>0.01</v>
      </c>
      <c r="D63" s="93"/>
      <c r="E63" s="13">
        <f>K67</f>
        <v>17466731.53846154</v>
      </c>
      <c r="G63" s="79" t="s">
        <v>195</v>
      </c>
      <c r="H63" s="80"/>
      <c r="I63" s="80"/>
      <c r="J63" s="86"/>
      <c r="K63" s="86"/>
    </row>
    <row r="64" spans="1:11" s="15" customFormat="1" ht="25" x14ac:dyDescent="0.25">
      <c r="A64" s="20" t="str">
        <f>A40</f>
        <v>Financing</v>
      </c>
      <c r="B64" s="23" t="s">
        <v>100</v>
      </c>
      <c r="C64" s="31">
        <f>C40</f>
        <v>0.06</v>
      </c>
      <c r="D64" s="93"/>
      <c r="E64" s="13">
        <f>'Raskin Option'!E64</f>
        <v>2500000</v>
      </c>
      <c r="G64" s="125" t="s">
        <v>197</v>
      </c>
      <c r="H64" s="41">
        <f>E85*1.17</f>
        <v>427329000</v>
      </c>
      <c r="I64" s="81">
        <v>0.01</v>
      </c>
      <c r="J64" s="15">
        <v>3</v>
      </c>
      <c r="K64" s="15">
        <f>J64*I64*H64</f>
        <v>12819870</v>
      </c>
    </row>
    <row r="65" spans="1:11" s="15" customFormat="1" ht="25" x14ac:dyDescent="0.25">
      <c r="A65" s="20" t="s">
        <v>131</v>
      </c>
      <c r="B65" s="23" t="str">
        <f>B41</f>
        <v>Percent</v>
      </c>
      <c r="C65" s="31">
        <f>'Raskin Option'!C65</f>
        <v>0.02</v>
      </c>
      <c r="D65" s="93"/>
      <c r="E65" s="13">
        <f>C65*E86*1.17</f>
        <v>8546580</v>
      </c>
      <c r="G65" s="125" t="s">
        <v>198</v>
      </c>
      <c r="H65" s="41">
        <f>E85</f>
        <v>365238461.53846157</v>
      </c>
      <c r="I65" s="81">
        <v>8.0000000000000002E-3</v>
      </c>
      <c r="J65" s="15">
        <v>1.5</v>
      </c>
      <c r="K65" s="15">
        <f>J65*I65*H65</f>
        <v>4382861.538461539</v>
      </c>
    </row>
    <row r="66" spans="1:11" s="15" customFormat="1" x14ac:dyDescent="0.25">
      <c r="A66" s="20" t="str">
        <f>+++A41</f>
        <v>Marketing and advertising</v>
      </c>
      <c r="B66" s="23" t="str">
        <f>B41</f>
        <v>Percent</v>
      </c>
      <c r="C66" s="31">
        <f>C41</f>
        <v>2.5000000000000001E-2</v>
      </c>
      <c r="D66" s="93"/>
      <c r="E66" s="13">
        <f>C66*E86</f>
        <v>9130961.5384615399</v>
      </c>
      <c r="G66" s="82" t="s">
        <v>196</v>
      </c>
      <c r="H66" s="83">
        <v>8800000</v>
      </c>
      <c r="I66" s="84">
        <v>0.01</v>
      </c>
      <c r="J66" s="82">
        <v>3</v>
      </c>
      <c r="K66" s="82">
        <f>J66*I66*H66</f>
        <v>264000</v>
      </c>
    </row>
    <row r="67" spans="1:11" s="15" customFormat="1" ht="13" x14ac:dyDescent="0.3">
      <c r="A67" s="20" t="str">
        <f>+A43</f>
        <v xml:space="preserve"> unforeseen items</v>
      </c>
      <c r="B67" s="23" t="str">
        <f>B43</f>
        <v>Percent</v>
      </c>
      <c r="C67" s="31">
        <f>C43</f>
        <v>0.05</v>
      </c>
      <c r="D67" s="93"/>
      <c r="E67" s="13">
        <f>C67*F57</f>
        <v>8128740</v>
      </c>
      <c r="F67" s="36"/>
      <c r="G67" s="40"/>
      <c r="H67" s="51"/>
      <c r="I67" s="51"/>
      <c r="J67" s="40"/>
      <c r="K67" s="40">
        <f>SUM(K64:K66)</f>
        <v>17466731.53846154</v>
      </c>
    </row>
    <row r="68" spans="1:11" s="15" customFormat="1" ht="13.5" thickBot="1" x14ac:dyDescent="0.35">
      <c r="A68" s="38" t="s">
        <v>130</v>
      </c>
      <c r="B68" s="35"/>
      <c r="C68" s="35"/>
      <c r="D68" s="94"/>
      <c r="E68" s="39">
        <f>SUM(E49:E67)</f>
        <v>269055057.07692307</v>
      </c>
      <c r="F68" s="40"/>
      <c r="J68" s="41"/>
      <c r="K68" s="41"/>
    </row>
    <row r="69" spans="1:11" s="15" customFormat="1" ht="13.5" thickTop="1" x14ac:dyDescent="0.3">
      <c r="A69" s="3"/>
      <c r="B69" s="3"/>
      <c r="C69" s="3"/>
      <c r="D69" s="3"/>
      <c r="J69" s="41"/>
      <c r="K69" s="41"/>
    </row>
    <row r="70" spans="1:11" s="15" customFormat="1" ht="13" x14ac:dyDescent="0.3">
      <c r="A70" s="3"/>
      <c r="B70" s="3"/>
      <c r="C70" s="3"/>
      <c r="D70" s="3"/>
      <c r="J70" s="41"/>
      <c r="K70" s="41"/>
    </row>
    <row r="71" spans="1:11" s="15" customFormat="1" ht="13" x14ac:dyDescent="0.3">
      <c r="A71" s="3"/>
      <c r="B71" s="3"/>
      <c r="C71" s="3"/>
      <c r="D71" s="3"/>
      <c r="J71" s="41"/>
      <c r="K71" s="41"/>
    </row>
    <row r="72" spans="1:11" s="15" customFormat="1" ht="13" x14ac:dyDescent="0.3">
      <c r="A72" s="3" t="s">
        <v>137</v>
      </c>
      <c r="B72" s="1"/>
      <c r="C72" s="1"/>
      <c r="D72" s="1"/>
      <c r="E72" s="1"/>
      <c r="J72" s="42"/>
      <c r="K72" s="42"/>
    </row>
    <row r="73" spans="1:11" s="15" customFormat="1" x14ac:dyDescent="0.25">
      <c r="A73" s="1"/>
      <c r="B73" s="1"/>
      <c r="C73" s="1"/>
      <c r="D73" s="1"/>
      <c r="E73" s="1"/>
      <c r="J73" s="41"/>
      <c r="K73" s="41"/>
    </row>
    <row r="74" spans="1:11" s="15" customFormat="1" ht="13" thickBot="1" x14ac:dyDescent="0.3">
      <c r="A74" s="1"/>
      <c r="B74" s="1"/>
      <c r="C74" s="1"/>
      <c r="D74" s="1"/>
      <c r="E74" s="1"/>
      <c r="J74" s="44"/>
      <c r="K74" s="44"/>
    </row>
    <row r="75" spans="1:11" s="15" customFormat="1" ht="39.5" thickTop="1" x14ac:dyDescent="0.3">
      <c r="A75" s="16" t="s">
        <v>138</v>
      </c>
      <c r="B75" s="17" t="s">
        <v>182</v>
      </c>
      <c r="C75" s="45" t="s">
        <v>184</v>
      </c>
      <c r="D75" s="45" t="s">
        <v>149</v>
      </c>
      <c r="E75" s="46" t="s">
        <v>150</v>
      </c>
      <c r="F75" s="112" t="s">
        <v>152</v>
      </c>
      <c r="J75" s="47"/>
      <c r="K75" s="47"/>
    </row>
    <row r="76" spans="1:11" s="15" customFormat="1" ht="13" x14ac:dyDescent="0.3">
      <c r="A76" s="48" t="s">
        <v>139</v>
      </c>
      <c r="B76" s="65">
        <f>B95</f>
        <v>9</v>
      </c>
      <c r="C76" s="66">
        <f>H95</f>
        <v>5814000</v>
      </c>
      <c r="D76" s="66">
        <f t="shared" ref="D76:D83" si="6">C76*B76</f>
        <v>52326000</v>
      </c>
      <c r="E76" s="67">
        <f>D76/1.17</f>
        <v>44723076.923076928</v>
      </c>
      <c r="F76" s="36">
        <f>80*B76</f>
        <v>720</v>
      </c>
      <c r="J76" s="47"/>
      <c r="K76" s="47"/>
    </row>
    <row r="77" spans="1:11" s="15" customFormat="1" ht="13" x14ac:dyDescent="0.3">
      <c r="A77" s="48" t="s">
        <v>140</v>
      </c>
      <c r="B77" s="65">
        <f t="shared" ref="B77:B83" si="7">B96</f>
        <v>36</v>
      </c>
      <c r="C77" s="66">
        <f t="shared" ref="C77:C83" si="8">H96</f>
        <v>3268000</v>
      </c>
      <c r="D77" s="66">
        <f t="shared" si="6"/>
        <v>117648000</v>
      </c>
      <c r="E77" s="67">
        <f t="shared" ref="E77:E83" si="9">D77/1.17</f>
        <v>100553846.15384616</v>
      </c>
      <c r="F77" s="36"/>
      <c r="J77" s="47"/>
      <c r="K77" s="47"/>
    </row>
    <row r="78" spans="1:11" s="15" customFormat="1" ht="13" x14ac:dyDescent="0.3">
      <c r="A78" s="48" t="s">
        <v>141</v>
      </c>
      <c r="B78" s="65">
        <f t="shared" si="7"/>
        <v>36</v>
      </c>
      <c r="C78" s="66">
        <f t="shared" si="8"/>
        <v>4256000</v>
      </c>
      <c r="D78" s="66">
        <f t="shared" si="6"/>
        <v>153216000</v>
      </c>
      <c r="E78" s="67">
        <f t="shared" si="9"/>
        <v>130953846.15384616</v>
      </c>
      <c r="F78" s="36"/>
      <c r="J78" s="47"/>
      <c r="K78" s="47"/>
    </row>
    <row r="79" spans="1:11" s="15" customFormat="1" ht="13" x14ac:dyDescent="0.3">
      <c r="A79" s="48" t="s">
        <v>142</v>
      </c>
      <c r="B79" s="65">
        <f t="shared" si="7"/>
        <v>9</v>
      </c>
      <c r="C79" s="66">
        <f t="shared" si="8"/>
        <v>4636000</v>
      </c>
      <c r="D79" s="66">
        <f t="shared" si="6"/>
        <v>41724000</v>
      </c>
      <c r="E79" s="67">
        <f t="shared" si="9"/>
        <v>35661538.461538464</v>
      </c>
      <c r="F79" s="36"/>
      <c r="J79" s="47"/>
      <c r="K79" s="47"/>
    </row>
    <row r="80" spans="1:11" s="15" customFormat="1" ht="13" x14ac:dyDescent="0.3">
      <c r="A80" s="48" t="s">
        <v>143</v>
      </c>
      <c r="B80" s="65">
        <f t="shared" si="7"/>
        <v>45</v>
      </c>
      <c r="C80" s="66">
        <f t="shared" si="8"/>
        <v>4674000</v>
      </c>
      <c r="D80" s="66">
        <f t="shared" si="6"/>
        <v>210330000</v>
      </c>
      <c r="E80" s="67">
        <f t="shared" si="9"/>
        <v>179769230.76923078</v>
      </c>
      <c r="F80" s="36"/>
      <c r="J80" s="47"/>
      <c r="K80" s="47"/>
    </row>
    <row r="81" spans="1:13" s="15" customFormat="1" ht="13" x14ac:dyDescent="0.3">
      <c r="A81" s="48" t="s">
        <v>144</v>
      </c>
      <c r="B81" s="65">
        <f t="shared" si="7"/>
        <v>18</v>
      </c>
      <c r="C81" s="66">
        <f t="shared" si="8"/>
        <v>5643000</v>
      </c>
      <c r="D81" s="66">
        <f t="shared" si="6"/>
        <v>101574000</v>
      </c>
      <c r="E81" s="67">
        <f t="shared" si="9"/>
        <v>86815384.615384623</v>
      </c>
      <c r="F81" s="36"/>
      <c r="J81" s="47"/>
      <c r="K81" s="47"/>
    </row>
    <row r="82" spans="1:13" s="15" customFormat="1" ht="13" x14ac:dyDescent="0.3">
      <c r="A82" s="48" t="s">
        <v>145</v>
      </c>
      <c r="B82" s="65">
        <f t="shared" si="7"/>
        <v>18</v>
      </c>
      <c r="C82" s="66">
        <f t="shared" si="8"/>
        <v>6023000</v>
      </c>
      <c r="D82" s="66">
        <f t="shared" si="6"/>
        <v>108414000</v>
      </c>
      <c r="E82" s="67">
        <f t="shared" si="9"/>
        <v>92661538.461538464</v>
      </c>
      <c r="F82" s="36"/>
      <c r="J82" s="47"/>
      <c r="K82" s="47"/>
    </row>
    <row r="83" spans="1:13" s="15" customFormat="1" ht="13" x14ac:dyDescent="0.3">
      <c r="A83" s="48" t="s">
        <v>146</v>
      </c>
      <c r="B83" s="65">
        <f t="shared" si="7"/>
        <v>9</v>
      </c>
      <c r="C83" s="66">
        <f t="shared" si="8"/>
        <v>7714000</v>
      </c>
      <c r="D83" s="66">
        <f t="shared" si="6"/>
        <v>69426000</v>
      </c>
      <c r="E83" s="67">
        <f t="shared" si="9"/>
        <v>59338461.538461544</v>
      </c>
      <c r="F83" s="36"/>
      <c r="J83" s="47"/>
      <c r="K83" s="47"/>
    </row>
    <row r="84" spans="1:13" s="15" customFormat="1" ht="13" x14ac:dyDescent="0.3">
      <c r="A84" s="49" t="s">
        <v>147</v>
      </c>
      <c r="B84" s="68">
        <f>SUM(B76:B83)</f>
        <v>180</v>
      </c>
      <c r="C84" s="68"/>
      <c r="D84" s="68"/>
      <c r="E84" s="69">
        <f>SUM(E76:E83)</f>
        <v>730476923.07692313</v>
      </c>
      <c r="F84" s="50">
        <f>E84/B84*1.16</f>
        <v>4707517.948717949</v>
      </c>
      <c r="L84" s="40"/>
      <c r="M84" s="51"/>
    </row>
    <row r="85" spans="1:13" s="15" customFormat="1" ht="13" x14ac:dyDescent="0.3">
      <c r="A85" s="8" t="s">
        <v>181</v>
      </c>
      <c r="B85" s="70">
        <f>B84*D85</f>
        <v>90</v>
      </c>
      <c r="C85" s="73"/>
      <c r="D85" s="73">
        <v>0.5</v>
      </c>
      <c r="E85" s="13">
        <f>E84/B84*B85</f>
        <v>365238461.53846157</v>
      </c>
    </row>
    <row r="86" spans="1:13" s="15" customFormat="1" ht="13.5" thickBot="1" x14ac:dyDescent="0.35">
      <c r="A86" s="52" t="s">
        <v>180</v>
      </c>
      <c r="B86" s="53">
        <f>B84-B85</f>
        <v>90</v>
      </c>
      <c r="C86" s="54"/>
      <c r="D86" s="54"/>
      <c r="E86" s="55">
        <f>+E84-E85</f>
        <v>365238461.53846157</v>
      </c>
      <c r="M86" s="51"/>
    </row>
    <row r="87" spans="1:13" s="15" customFormat="1" ht="13" thickTop="1" x14ac:dyDescent="0.25"/>
    <row r="88" spans="1:13" s="15" customFormat="1" ht="13" x14ac:dyDescent="0.3">
      <c r="A88" s="3" t="s">
        <v>185</v>
      </c>
      <c r="C88" s="58"/>
      <c r="D88" s="58"/>
    </row>
    <row r="89" spans="1:13" s="15" customFormat="1" x14ac:dyDescent="0.25">
      <c r="B89" s="29"/>
      <c r="C89" s="58"/>
      <c r="D89" s="58"/>
    </row>
    <row r="90" spans="1:13" s="15" customFormat="1" ht="13.5" thickBot="1" x14ac:dyDescent="0.35">
      <c r="A90" s="71" t="s">
        <v>158</v>
      </c>
      <c r="B90" s="71" t="s">
        <v>157</v>
      </c>
      <c r="C90" s="58"/>
      <c r="D90" s="58"/>
    </row>
    <row r="91" spans="1:13" s="15" customFormat="1" ht="14" thickTop="1" thickBot="1" x14ac:dyDescent="0.35">
      <c r="A91" s="56">
        <f>E91/E68</f>
        <v>0.3574859566160824</v>
      </c>
      <c r="B91" s="56">
        <f>E91/E86</f>
        <v>0.2633441288094186</v>
      </c>
      <c r="C91" s="51"/>
      <c r="D91" s="51"/>
      <c r="E91" s="57">
        <f>E86-E68</f>
        <v>96183404.461538494</v>
      </c>
    </row>
    <row r="92" spans="1:13" s="15" customFormat="1" ht="13.5" thickTop="1" x14ac:dyDescent="0.3">
      <c r="B92" s="15" t="s">
        <v>81</v>
      </c>
      <c r="C92" s="51"/>
      <c r="D92" s="51"/>
    </row>
    <row r="93" spans="1:13" s="15" customFormat="1" ht="13" x14ac:dyDescent="0.3">
      <c r="C93" s="51"/>
      <c r="D93" s="51"/>
    </row>
    <row r="94" spans="1:13" s="15" customFormat="1" ht="38" x14ac:dyDescent="0.3">
      <c r="A94" s="40" t="s">
        <v>186</v>
      </c>
      <c r="B94" s="40" t="s">
        <v>170</v>
      </c>
      <c r="C94" s="40" t="s">
        <v>187</v>
      </c>
      <c r="D94" s="40"/>
      <c r="E94" s="40" t="s">
        <v>188</v>
      </c>
      <c r="F94" s="40" t="s">
        <v>189</v>
      </c>
      <c r="G94" s="126" t="s">
        <v>190</v>
      </c>
      <c r="H94" s="40" t="s">
        <v>191</v>
      </c>
      <c r="I94" s="40" t="s">
        <v>164</v>
      </c>
      <c r="J94" s="125" t="s">
        <v>192</v>
      </c>
    </row>
    <row r="95" spans="1:13" s="15" customFormat="1" x14ac:dyDescent="0.25">
      <c r="A95" s="114" t="s">
        <v>139</v>
      </c>
      <c r="B95" s="15">
        <v>9</v>
      </c>
      <c r="C95" s="15">
        <v>150</v>
      </c>
      <c r="F95" s="15">
        <v>6</v>
      </c>
      <c r="G95" s="15">
        <v>38000</v>
      </c>
      <c r="H95" s="15">
        <f>G95*(C95+F95*0.5)</f>
        <v>5814000</v>
      </c>
      <c r="I95" s="15">
        <f>H95*B95</f>
        <v>52326000</v>
      </c>
      <c r="J95" s="15">
        <f t="shared" ref="J95:J102" si="10">(C95+F95*0.5)*B95</f>
        <v>1377</v>
      </c>
    </row>
    <row r="96" spans="1:13" s="15" customFormat="1" x14ac:dyDescent="0.25">
      <c r="A96" s="114" t="s">
        <v>140</v>
      </c>
      <c r="B96" s="15">
        <v>36</v>
      </c>
      <c r="C96" s="15">
        <v>80</v>
      </c>
      <c r="E96" s="15">
        <v>12</v>
      </c>
      <c r="F96" s="15">
        <v>6</v>
      </c>
      <c r="G96" s="15">
        <f>G95</f>
        <v>38000</v>
      </c>
      <c r="H96" s="15">
        <f>G96*(C96+E96*0.5)</f>
        <v>3268000</v>
      </c>
      <c r="I96" s="15">
        <f t="shared" ref="I96:I102" si="11">H96*B96</f>
        <v>117648000</v>
      </c>
      <c r="J96" s="15">
        <f t="shared" si="10"/>
        <v>2988</v>
      </c>
    </row>
    <row r="97" spans="1:11" s="15" customFormat="1" x14ac:dyDescent="0.25">
      <c r="A97" s="114" t="s">
        <v>141</v>
      </c>
      <c r="B97" s="15">
        <v>36</v>
      </c>
      <c r="C97" s="15">
        <v>105</v>
      </c>
      <c r="E97" s="15">
        <v>14</v>
      </c>
      <c r="F97" s="15">
        <v>6</v>
      </c>
      <c r="G97" s="15">
        <f t="shared" ref="G97:G101" si="12">G96</f>
        <v>38000</v>
      </c>
      <c r="H97" s="15">
        <f t="shared" ref="H97:H102" si="13">G97*(C97+E97*0.5)</f>
        <v>4256000</v>
      </c>
      <c r="I97" s="15">
        <f t="shared" si="11"/>
        <v>153216000</v>
      </c>
      <c r="J97" s="15">
        <f t="shared" si="10"/>
        <v>3888</v>
      </c>
    </row>
    <row r="98" spans="1:11" s="15" customFormat="1" x14ac:dyDescent="0.25">
      <c r="A98" s="114" t="s">
        <v>142</v>
      </c>
      <c r="B98" s="15">
        <v>9</v>
      </c>
      <c r="C98" s="15">
        <v>115</v>
      </c>
      <c r="E98" s="15">
        <v>14</v>
      </c>
      <c r="F98" s="15">
        <v>6</v>
      </c>
      <c r="G98" s="15">
        <f t="shared" si="12"/>
        <v>38000</v>
      </c>
      <c r="H98" s="15">
        <f t="shared" si="13"/>
        <v>4636000</v>
      </c>
      <c r="I98" s="15">
        <f t="shared" si="11"/>
        <v>41724000</v>
      </c>
      <c r="J98" s="15">
        <f t="shared" si="10"/>
        <v>1062</v>
      </c>
    </row>
    <row r="99" spans="1:11" s="15" customFormat="1" x14ac:dyDescent="0.25">
      <c r="A99" s="114" t="s">
        <v>143</v>
      </c>
      <c r="B99" s="15">
        <v>45</v>
      </c>
      <c r="C99" s="15">
        <v>116</v>
      </c>
      <c r="E99" s="15">
        <v>14</v>
      </c>
      <c r="F99" s="15">
        <v>6</v>
      </c>
      <c r="G99" s="15">
        <f t="shared" si="12"/>
        <v>38000</v>
      </c>
      <c r="H99" s="15">
        <f t="shared" si="13"/>
        <v>4674000</v>
      </c>
      <c r="I99" s="15">
        <f t="shared" si="11"/>
        <v>210330000</v>
      </c>
      <c r="J99" s="15">
        <f t="shared" si="10"/>
        <v>5355</v>
      </c>
    </row>
    <row r="100" spans="1:11" s="15" customFormat="1" x14ac:dyDescent="0.25">
      <c r="A100" s="114" t="s">
        <v>144</v>
      </c>
      <c r="B100" s="15">
        <v>18</v>
      </c>
      <c r="C100" s="15">
        <v>140</v>
      </c>
      <c r="E100" s="15">
        <v>17</v>
      </c>
      <c r="F100" s="15">
        <v>6</v>
      </c>
      <c r="G100" s="15">
        <f t="shared" si="12"/>
        <v>38000</v>
      </c>
      <c r="H100" s="15">
        <f t="shared" si="13"/>
        <v>5643000</v>
      </c>
      <c r="I100" s="15">
        <f t="shared" si="11"/>
        <v>101574000</v>
      </c>
      <c r="J100" s="15">
        <f t="shared" si="10"/>
        <v>2574</v>
      </c>
    </row>
    <row r="101" spans="1:11" s="15" customFormat="1" x14ac:dyDescent="0.25">
      <c r="A101" s="114" t="s">
        <v>145</v>
      </c>
      <c r="B101" s="15">
        <v>18</v>
      </c>
      <c r="C101" s="15">
        <v>150</v>
      </c>
      <c r="E101" s="15">
        <v>17</v>
      </c>
      <c r="F101" s="15">
        <v>6</v>
      </c>
      <c r="G101" s="15">
        <f t="shared" si="12"/>
        <v>38000</v>
      </c>
      <c r="H101" s="15">
        <f t="shared" si="13"/>
        <v>6023000</v>
      </c>
      <c r="I101" s="15">
        <f t="shared" si="11"/>
        <v>108414000</v>
      </c>
      <c r="J101" s="15">
        <f t="shared" si="10"/>
        <v>2754</v>
      </c>
    </row>
    <row r="102" spans="1:11" s="15" customFormat="1" x14ac:dyDescent="0.25">
      <c r="A102" s="114" t="s">
        <v>146</v>
      </c>
      <c r="B102" s="82">
        <v>9</v>
      </c>
      <c r="C102" s="82">
        <v>173</v>
      </c>
      <c r="D102" s="82"/>
      <c r="E102" s="82">
        <v>60</v>
      </c>
      <c r="F102" s="82">
        <v>6</v>
      </c>
      <c r="G102" s="15">
        <v>38000</v>
      </c>
      <c r="H102" s="82">
        <f t="shared" si="13"/>
        <v>7714000</v>
      </c>
      <c r="I102" s="82">
        <f t="shared" si="11"/>
        <v>69426000</v>
      </c>
      <c r="J102" s="82">
        <f t="shared" si="10"/>
        <v>1584</v>
      </c>
    </row>
    <row r="103" spans="1:11" s="15" customFormat="1" ht="13" x14ac:dyDescent="0.3">
      <c r="A103" s="61"/>
      <c r="B103" s="15">
        <f>SUM(B95:B102)</f>
        <v>180</v>
      </c>
      <c r="H103" s="40"/>
      <c r="I103" s="40">
        <f>SUM(I95:I102)</f>
        <v>854658000</v>
      </c>
      <c r="J103" s="40">
        <f>SUM(J95:J102)</f>
        <v>21582</v>
      </c>
    </row>
    <row r="104" spans="1:11" s="15" customFormat="1" ht="13" x14ac:dyDescent="0.3">
      <c r="A104" s="61"/>
      <c r="C104" s="51"/>
      <c r="D104" s="51"/>
    </row>
    <row r="105" spans="1:11" s="15" customFormat="1" ht="13" x14ac:dyDescent="0.3">
      <c r="C105" s="51"/>
      <c r="D105" s="51"/>
      <c r="I105" s="15">
        <f>I103/1.17</f>
        <v>730476923.07692313</v>
      </c>
    </row>
    <row r="106" spans="1:11" s="15" customFormat="1" ht="13" x14ac:dyDescent="0.3">
      <c r="C106" s="51"/>
      <c r="D106" s="51"/>
    </row>
    <row r="107" spans="1:11" s="15" customFormat="1" ht="13" hidden="1" x14ac:dyDescent="0.3">
      <c r="A107" s="43" t="s">
        <v>61</v>
      </c>
      <c r="C107" s="51"/>
      <c r="D107" s="51"/>
    </row>
    <row r="108" spans="1:11" s="15" customFormat="1" hidden="1" x14ac:dyDescent="0.25"/>
    <row r="109" spans="1:11" s="15" customFormat="1" ht="13" hidden="1" x14ac:dyDescent="0.3">
      <c r="A109" s="43" t="s">
        <v>72</v>
      </c>
      <c r="B109" s="43" t="s">
        <v>0</v>
      </c>
      <c r="C109" s="43" t="s">
        <v>6</v>
      </c>
      <c r="D109" s="43"/>
      <c r="E109" s="43" t="s">
        <v>7</v>
      </c>
      <c r="F109" s="43" t="s">
        <v>37</v>
      </c>
      <c r="G109" s="43" t="s">
        <v>35</v>
      </c>
      <c r="H109" s="43"/>
      <c r="I109" s="43"/>
      <c r="J109" s="43" t="s">
        <v>78</v>
      </c>
      <c r="K109" s="43"/>
    </row>
    <row r="110" spans="1:11" s="15" customFormat="1" hidden="1" x14ac:dyDescent="0.25">
      <c r="A110" s="15">
        <v>1</v>
      </c>
      <c r="B110" s="15" t="s">
        <v>62</v>
      </c>
      <c r="C110" s="15">
        <v>130.00163318634657</v>
      </c>
      <c r="F110" s="15">
        <v>100</v>
      </c>
      <c r="G110" s="15">
        <f t="shared" ref="G110:G135" si="14">(C110+E110*0.5+F110*0.25)*J110</f>
        <v>4960052.2619630899</v>
      </c>
      <c r="J110" s="15">
        <v>32000</v>
      </c>
    </row>
    <row r="111" spans="1:11" s="15" customFormat="1" hidden="1" x14ac:dyDescent="0.25">
      <c r="A111" s="15">
        <v>2</v>
      </c>
      <c r="B111" s="15" t="s">
        <v>63</v>
      </c>
      <c r="C111" s="15">
        <v>133.20116641367741</v>
      </c>
      <c r="E111" s="15">
        <v>27</v>
      </c>
      <c r="G111" s="15">
        <f t="shared" si="14"/>
        <v>4841138.4916513544</v>
      </c>
      <c r="J111" s="72">
        <v>33000</v>
      </c>
      <c r="K111" s="72"/>
    </row>
    <row r="112" spans="1:11" s="15" customFormat="1" hidden="1" x14ac:dyDescent="0.25">
      <c r="A112" s="15">
        <v>3</v>
      </c>
      <c r="B112" s="15" t="s">
        <v>63</v>
      </c>
      <c r="C112" s="15">
        <v>130.50241835551824</v>
      </c>
      <c r="E112" s="15">
        <v>27</v>
      </c>
      <c r="G112" s="15">
        <f t="shared" si="14"/>
        <v>4752079.8057321021</v>
      </c>
      <c r="J112" s="15">
        <f>J111</f>
        <v>33000</v>
      </c>
    </row>
    <row r="113" spans="1:10" s="15" customFormat="1" hidden="1" x14ac:dyDescent="0.25">
      <c r="A113" s="15">
        <v>4</v>
      </c>
      <c r="B113" s="15" t="s">
        <v>64</v>
      </c>
      <c r="C113" s="15">
        <v>80.499021057258162</v>
      </c>
      <c r="E113" s="15">
        <v>27</v>
      </c>
      <c r="G113" s="15">
        <f t="shared" si="14"/>
        <v>3101967.6948895194</v>
      </c>
      <c r="J113" s="15">
        <f>J111</f>
        <v>33000</v>
      </c>
    </row>
    <row r="114" spans="1:10" s="15" customFormat="1" hidden="1" x14ac:dyDescent="0.25">
      <c r="A114" s="15">
        <v>5</v>
      </c>
      <c r="B114" s="15" t="s">
        <v>63</v>
      </c>
      <c r="C114" s="15">
        <v>133.19999205434826</v>
      </c>
      <c r="E114" s="15">
        <v>27</v>
      </c>
      <c r="G114" s="15">
        <f t="shared" si="14"/>
        <v>4841099.7377934922</v>
      </c>
      <c r="J114" s="15">
        <f>J111</f>
        <v>33000</v>
      </c>
    </row>
    <row r="115" spans="1:10" s="15" customFormat="1" hidden="1" x14ac:dyDescent="0.25">
      <c r="A115" s="15">
        <v>6</v>
      </c>
      <c r="B115" s="15" t="s">
        <v>63</v>
      </c>
      <c r="C115" s="15">
        <v>130.49882736415313</v>
      </c>
      <c r="E115" s="15">
        <v>27</v>
      </c>
      <c r="G115" s="15">
        <f t="shared" si="14"/>
        <v>4751961.3030170528</v>
      </c>
      <c r="J115" s="15">
        <f>J111</f>
        <v>33000</v>
      </c>
    </row>
    <row r="116" spans="1:10" s="15" customFormat="1" hidden="1" x14ac:dyDescent="0.25">
      <c r="A116" s="15">
        <v>7</v>
      </c>
      <c r="B116" s="15" t="s">
        <v>65</v>
      </c>
      <c r="C116" s="15">
        <v>80.4986727942633</v>
      </c>
      <c r="E116" s="15">
        <v>27</v>
      </c>
      <c r="G116" s="15">
        <f t="shared" si="14"/>
        <v>3101956.202210689</v>
      </c>
      <c r="J116" s="15">
        <f>J111</f>
        <v>33000</v>
      </c>
    </row>
    <row r="117" spans="1:10" s="15" customFormat="1" hidden="1" x14ac:dyDescent="0.25">
      <c r="A117" s="15">
        <v>8</v>
      </c>
      <c r="B117" s="15" t="s">
        <v>63</v>
      </c>
      <c r="C117" s="15">
        <v>133.19883040935673</v>
      </c>
      <c r="E117" s="15">
        <v>27</v>
      </c>
      <c r="G117" s="15">
        <f t="shared" si="14"/>
        <v>4841061.4035087721</v>
      </c>
      <c r="J117" s="15">
        <f>J111</f>
        <v>33000</v>
      </c>
    </row>
    <row r="118" spans="1:10" s="15" customFormat="1" hidden="1" x14ac:dyDescent="0.25">
      <c r="A118" s="15">
        <v>9</v>
      </c>
      <c r="B118" s="15" t="s">
        <v>63</v>
      </c>
      <c r="C118" s="15">
        <v>130.50094876660341</v>
      </c>
      <c r="E118" s="15">
        <v>27</v>
      </c>
      <c r="G118" s="15">
        <f t="shared" si="14"/>
        <v>4752031.3092979128</v>
      </c>
      <c r="J118" s="15">
        <f>J111</f>
        <v>33000</v>
      </c>
    </row>
    <row r="119" spans="1:10" s="15" customFormat="1" hidden="1" x14ac:dyDescent="0.25">
      <c r="A119" s="15">
        <v>10</v>
      </c>
      <c r="B119" s="15" t="s">
        <v>66</v>
      </c>
      <c r="C119" s="15">
        <v>80.498330386957377</v>
      </c>
      <c r="E119" s="15">
        <v>27</v>
      </c>
      <c r="G119" s="15">
        <f t="shared" si="14"/>
        <v>3101944.9027695935</v>
      </c>
      <c r="J119" s="15">
        <f>J111</f>
        <v>33000</v>
      </c>
    </row>
    <row r="120" spans="1:10" s="15" customFormat="1" hidden="1" x14ac:dyDescent="0.25">
      <c r="A120" s="15">
        <v>11</v>
      </c>
      <c r="B120" s="15" t="s">
        <v>63</v>
      </c>
      <c r="C120" s="15">
        <v>133.19768127333464</v>
      </c>
      <c r="E120" s="15">
        <v>27</v>
      </c>
      <c r="G120" s="15">
        <f t="shared" si="14"/>
        <v>4841023.4820200428</v>
      </c>
      <c r="J120" s="15">
        <f>J111</f>
        <v>33000</v>
      </c>
    </row>
    <row r="121" spans="1:10" s="15" customFormat="1" hidden="1" x14ac:dyDescent="0.25">
      <c r="A121" s="15">
        <v>12</v>
      </c>
      <c r="B121" s="15" t="s">
        <v>63</v>
      </c>
      <c r="C121" s="15">
        <v>130.49740525239818</v>
      </c>
      <c r="E121" s="15">
        <v>27</v>
      </c>
      <c r="G121" s="15">
        <f t="shared" si="14"/>
        <v>4751914.3733291402</v>
      </c>
      <c r="J121" s="15">
        <f>J111</f>
        <v>33000</v>
      </c>
    </row>
    <row r="122" spans="1:10" s="15" customFormat="1" hidden="1" x14ac:dyDescent="0.25">
      <c r="A122" s="15">
        <v>13</v>
      </c>
      <c r="B122" s="15" t="s">
        <v>67</v>
      </c>
      <c r="C122" s="15">
        <v>80.501636278634876</v>
      </c>
      <c r="E122" s="15">
        <v>27</v>
      </c>
      <c r="G122" s="15">
        <f t="shared" si="14"/>
        <v>3102053.9971949509</v>
      </c>
      <c r="J122" s="15">
        <f>J111</f>
        <v>33000</v>
      </c>
    </row>
    <row r="123" spans="1:10" s="15" customFormat="1" hidden="1" x14ac:dyDescent="0.25">
      <c r="A123" s="15">
        <v>14</v>
      </c>
      <c r="B123" s="15" t="s">
        <v>63</v>
      </c>
      <c r="C123" s="15">
        <v>133.20225948946484</v>
      </c>
      <c r="E123" s="15">
        <v>27</v>
      </c>
      <c r="G123" s="15">
        <f t="shared" si="14"/>
        <v>4841174.5631523393</v>
      </c>
      <c r="J123" s="15">
        <f>J111</f>
        <v>33000</v>
      </c>
    </row>
    <row r="124" spans="1:10" s="15" customFormat="1" hidden="1" x14ac:dyDescent="0.25">
      <c r="A124" s="15">
        <v>15</v>
      </c>
      <c r="B124" s="15" t="s">
        <v>63</v>
      </c>
      <c r="C124" s="15">
        <v>130.49951124144673</v>
      </c>
      <c r="E124" s="15">
        <v>27</v>
      </c>
      <c r="G124" s="15">
        <f t="shared" si="14"/>
        <v>4751983.8709677421</v>
      </c>
      <c r="J124" s="15">
        <f>J111</f>
        <v>33000</v>
      </c>
    </row>
    <row r="125" spans="1:10" s="15" customFormat="1" hidden="1" x14ac:dyDescent="0.25">
      <c r="A125" s="15">
        <v>16</v>
      </c>
      <c r="B125" s="15" t="s">
        <v>68</v>
      </c>
      <c r="C125" s="15">
        <v>80.501275017386604</v>
      </c>
      <c r="E125" s="15">
        <v>27</v>
      </c>
      <c r="G125" s="15">
        <f t="shared" si="14"/>
        <v>3102042.0755737578</v>
      </c>
      <c r="J125" s="15">
        <f>J111</f>
        <v>33000</v>
      </c>
    </row>
    <row r="126" spans="1:10" s="15" customFormat="1" hidden="1" x14ac:dyDescent="0.25">
      <c r="A126" s="15">
        <v>17</v>
      </c>
      <c r="B126" s="15" t="s">
        <v>63</v>
      </c>
      <c r="C126" s="15">
        <v>133.20110428493663</v>
      </c>
      <c r="E126" s="15">
        <v>27</v>
      </c>
      <c r="G126" s="15">
        <f t="shared" si="14"/>
        <v>4841136.4414029093</v>
      </c>
      <c r="J126" s="15">
        <f>J111</f>
        <v>33000</v>
      </c>
    </row>
    <row r="127" spans="1:10" s="15" customFormat="1" hidden="1" x14ac:dyDescent="0.25">
      <c r="A127" s="15">
        <v>18</v>
      </c>
      <c r="B127" s="15" t="s">
        <v>63</v>
      </c>
      <c r="C127" s="15">
        <v>130.50159446216068</v>
      </c>
      <c r="E127" s="15">
        <v>27</v>
      </c>
      <c r="G127" s="15">
        <f t="shared" si="14"/>
        <v>4752052.6172513021</v>
      </c>
      <c r="J127" s="15">
        <f>J111</f>
        <v>33000</v>
      </c>
    </row>
    <row r="128" spans="1:10" s="15" customFormat="1" hidden="1" x14ac:dyDescent="0.25">
      <c r="A128" s="15">
        <v>19</v>
      </c>
      <c r="B128" s="15" t="s">
        <v>63</v>
      </c>
      <c r="C128" s="15">
        <v>109.49961234299892</v>
      </c>
      <c r="E128" s="15">
        <v>27</v>
      </c>
      <c r="G128" s="15">
        <f t="shared" si="14"/>
        <v>4058987.2073189644</v>
      </c>
      <c r="J128" s="15">
        <f>J111</f>
        <v>33000</v>
      </c>
    </row>
    <row r="129" spans="1:23" s="15" customFormat="1" hidden="1" x14ac:dyDescent="0.25">
      <c r="A129" s="15">
        <v>20</v>
      </c>
      <c r="B129" s="15" t="s">
        <v>63</v>
      </c>
      <c r="C129" s="15">
        <v>133.19996132276157</v>
      </c>
      <c r="E129" s="15">
        <v>27</v>
      </c>
      <c r="G129" s="15">
        <f t="shared" si="14"/>
        <v>4841098.7236511316</v>
      </c>
      <c r="J129" s="15">
        <f>J111</f>
        <v>33000</v>
      </c>
    </row>
    <row r="130" spans="1:23" s="15" customFormat="1" hidden="1" x14ac:dyDescent="0.25">
      <c r="A130" s="15">
        <v>21</v>
      </c>
      <c r="B130" s="15" t="s">
        <v>63</v>
      </c>
      <c r="C130" s="15">
        <v>130.49810474201283</v>
      </c>
      <c r="E130" s="15">
        <v>27</v>
      </c>
      <c r="G130" s="15">
        <f t="shared" si="14"/>
        <v>4751937.4564864235</v>
      </c>
      <c r="J130" s="15">
        <f>J111</f>
        <v>33000</v>
      </c>
    </row>
    <row r="131" spans="1:23" s="15" customFormat="1" hidden="1" x14ac:dyDescent="0.25">
      <c r="A131" s="15">
        <v>22</v>
      </c>
      <c r="B131" s="15" t="s">
        <v>63</v>
      </c>
      <c r="C131" s="15">
        <v>109.5008667514157</v>
      </c>
      <c r="E131" s="15">
        <v>27</v>
      </c>
      <c r="G131" s="15">
        <f t="shared" si="14"/>
        <v>4059028.602796718</v>
      </c>
      <c r="J131" s="15">
        <f>J111</f>
        <v>33000</v>
      </c>
    </row>
    <row r="132" spans="1:23" s="15" customFormat="1" hidden="1" x14ac:dyDescent="0.25">
      <c r="A132" s="15">
        <v>23</v>
      </c>
      <c r="B132" s="15" t="s">
        <v>79</v>
      </c>
      <c r="C132" s="15">
        <v>151.99856605126368</v>
      </c>
      <c r="F132" s="15">
        <v>40</v>
      </c>
      <c r="G132" s="15">
        <f t="shared" si="14"/>
        <v>5669949.8117942289</v>
      </c>
      <c r="J132" s="15">
        <v>35000</v>
      </c>
    </row>
    <row r="133" spans="1:23" s="15" customFormat="1" hidden="1" x14ac:dyDescent="0.25">
      <c r="A133" s="15">
        <v>24</v>
      </c>
      <c r="B133" s="15" t="s">
        <v>79</v>
      </c>
      <c r="C133" s="15">
        <v>151.99856605126368</v>
      </c>
      <c r="F133" s="15">
        <v>40</v>
      </c>
      <c r="G133" s="15">
        <f t="shared" si="14"/>
        <v>5669949.8117942289</v>
      </c>
      <c r="J133" s="15">
        <v>35000</v>
      </c>
    </row>
    <row r="134" spans="1:23" s="15" customFormat="1" hidden="1" x14ac:dyDescent="0.25">
      <c r="A134" s="15">
        <v>25</v>
      </c>
      <c r="B134" s="15" t="s">
        <v>79</v>
      </c>
      <c r="C134" s="15">
        <v>186.99974875273679</v>
      </c>
      <c r="F134" s="15">
        <v>70</v>
      </c>
      <c r="G134" s="15">
        <f t="shared" si="14"/>
        <v>7157491.2063457873</v>
      </c>
      <c r="J134" s="15">
        <v>35000</v>
      </c>
    </row>
    <row r="135" spans="1:23" s="15" customFormat="1" hidden="1" x14ac:dyDescent="0.25">
      <c r="A135" s="15">
        <v>26</v>
      </c>
      <c r="B135" s="15" t="s">
        <v>79</v>
      </c>
      <c r="C135" s="15">
        <v>186.99974875273679</v>
      </c>
      <c r="F135" s="15">
        <v>70</v>
      </c>
      <c r="G135" s="15">
        <f t="shared" si="14"/>
        <v>7157491.2063457873</v>
      </c>
      <c r="J135" s="15">
        <v>35000</v>
      </c>
    </row>
    <row r="136" spans="1:23" s="15" customFormat="1" ht="13.5" hidden="1" thickBot="1" x14ac:dyDescent="0.35">
      <c r="G136" s="64">
        <f>SUM(G110:G135)</f>
        <v>121394608.56025901</v>
      </c>
      <c r="H136" s="85"/>
      <c r="I136" s="85"/>
    </row>
    <row r="137" spans="1:23" s="15" customFormat="1" ht="13" hidden="1" thickTop="1" x14ac:dyDescent="0.25"/>
    <row r="138" spans="1:23" s="15" customFormat="1" hidden="1" x14ac:dyDescent="0.25"/>
    <row r="139" spans="1:23" s="15" customFormat="1" hidden="1" x14ac:dyDescent="0.25"/>
    <row r="140" spans="1:23" s="15" customFormat="1" hidden="1" x14ac:dyDescent="0.25"/>
    <row r="141" spans="1:23" s="15" customFormat="1" hidden="1" x14ac:dyDescent="0.25"/>
    <row r="142" spans="1:23" s="15" customFormat="1" hidden="1" x14ac:dyDescent="0.25"/>
    <row r="143" spans="1:23" s="15" customFormat="1" ht="13" hidden="1" x14ac:dyDescent="0.3">
      <c r="A143" s="43" t="s">
        <v>70</v>
      </c>
      <c r="B143" s="1"/>
      <c r="C143" s="1"/>
      <c r="D143" s="1"/>
      <c r="E143" s="1"/>
      <c r="F143" s="1"/>
      <c r="G143" s="1"/>
      <c r="H143" s="1"/>
      <c r="I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s="15" customFormat="1" ht="13" hidden="1" x14ac:dyDescent="0.3">
      <c r="A144" s="43" t="s">
        <v>72</v>
      </c>
      <c r="B144" s="43" t="s">
        <v>0</v>
      </c>
      <c r="C144" s="43" t="s">
        <v>6</v>
      </c>
      <c r="D144" s="43"/>
      <c r="E144" s="43" t="s">
        <v>7</v>
      </c>
      <c r="F144" s="43" t="s">
        <v>37</v>
      </c>
      <c r="G144" s="43" t="s">
        <v>35</v>
      </c>
      <c r="H144" s="43"/>
      <c r="I144" s="43"/>
      <c r="J144" s="43" t="s">
        <v>34</v>
      </c>
      <c r="K144" s="43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s="15" customFormat="1" hidden="1" x14ac:dyDescent="0.25">
      <c r="A145" s="15">
        <v>1</v>
      </c>
      <c r="B145" s="15" t="s">
        <v>62</v>
      </c>
      <c r="C145" s="15">
        <v>132.69986893840104</v>
      </c>
      <c r="F145" s="15">
        <v>100</v>
      </c>
      <c r="G145" s="15">
        <f t="shared" ref="G145:G170" si="15">(C145+E145*0.5+F145*0.25)*J145</f>
        <v>5046395.8060288336</v>
      </c>
      <c r="J145" s="15">
        <v>32000</v>
      </c>
      <c r="P145" s="1"/>
      <c r="Q145" s="1"/>
      <c r="R145" s="1"/>
      <c r="S145" s="1"/>
      <c r="T145" s="1"/>
      <c r="U145" s="1"/>
      <c r="V145" s="1"/>
      <c r="W145" s="1"/>
    </row>
    <row r="146" spans="1:23" s="15" customFormat="1" hidden="1" x14ac:dyDescent="0.25">
      <c r="A146" s="15">
        <v>2</v>
      </c>
      <c r="B146" s="15" t="s">
        <v>63</v>
      </c>
      <c r="C146" s="15">
        <v>133.20116641367741</v>
      </c>
      <c r="E146" s="15">
        <v>27</v>
      </c>
      <c r="G146" s="15">
        <f t="shared" si="15"/>
        <v>4841138.4916513544</v>
      </c>
      <c r="J146" s="72">
        <f>J111</f>
        <v>33000</v>
      </c>
      <c r="K146" s="72"/>
      <c r="P146" s="1"/>
      <c r="Q146" s="1"/>
      <c r="R146" s="1"/>
      <c r="S146" s="1"/>
      <c r="T146" s="1"/>
      <c r="U146" s="1"/>
      <c r="V146" s="1"/>
      <c r="W146" s="1"/>
    </row>
    <row r="147" spans="1:23" s="15" customFormat="1" hidden="1" x14ac:dyDescent="0.25">
      <c r="A147" s="15">
        <v>3</v>
      </c>
      <c r="B147" s="15" t="s">
        <v>63</v>
      </c>
      <c r="C147" s="15">
        <v>130.50241835551824</v>
      </c>
      <c r="E147" s="15">
        <v>27</v>
      </c>
      <c r="G147" s="15">
        <f t="shared" si="15"/>
        <v>4752079.8057321021</v>
      </c>
      <c r="J147" s="15">
        <f>J146</f>
        <v>33000</v>
      </c>
      <c r="P147" s="1"/>
      <c r="Q147" s="1"/>
      <c r="R147" s="1"/>
      <c r="S147" s="1"/>
      <c r="T147" s="1"/>
      <c r="U147" s="1"/>
      <c r="V147" s="1"/>
      <c r="W147" s="1"/>
    </row>
    <row r="148" spans="1:23" s="15" customFormat="1" hidden="1" x14ac:dyDescent="0.25">
      <c r="A148" s="15">
        <v>4</v>
      </c>
      <c r="B148" s="15" t="s">
        <v>64</v>
      </c>
      <c r="C148" s="15">
        <v>80.499021057258162</v>
      </c>
      <c r="E148" s="15">
        <v>27</v>
      </c>
      <c r="G148" s="15">
        <f t="shared" si="15"/>
        <v>3101967.6948895194</v>
      </c>
      <c r="J148" s="15">
        <f>J146</f>
        <v>33000</v>
      </c>
      <c r="P148" s="1"/>
      <c r="Q148" s="1"/>
      <c r="R148" s="1"/>
      <c r="S148" s="1"/>
      <c r="T148" s="1"/>
      <c r="U148" s="1"/>
      <c r="V148" s="1"/>
      <c r="W148" s="1"/>
    </row>
    <row r="149" spans="1:23" s="15" customFormat="1" hidden="1" x14ac:dyDescent="0.25">
      <c r="A149" s="15">
        <v>5</v>
      </c>
      <c r="B149" s="15" t="s">
        <v>63</v>
      </c>
      <c r="C149" s="15">
        <v>133.19999205434826</v>
      </c>
      <c r="E149" s="15">
        <v>27</v>
      </c>
      <c r="G149" s="15">
        <f t="shared" si="15"/>
        <v>4841099.7377934922</v>
      </c>
      <c r="J149" s="15">
        <f>J146</f>
        <v>33000</v>
      </c>
      <c r="P149" s="1"/>
      <c r="Q149" s="1"/>
      <c r="R149" s="1"/>
      <c r="S149" s="1"/>
      <c r="T149" s="1"/>
      <c r="U149" s="1"/>
      <c r="V149" s="1"/>
      <c r="W149" s="1"/>
    </row>
    <row r="150" spans="1:23" s="15" customFormat="1" hidden="1" x14ac:dyDescent="0.25">
      <c r="A150" s="15">
        <v>6</v>
      </c>
      <c r="B150" s="15" t="s">
        <v>63</v>
      </c>
      <c r="C150" s="15">
        <v>130.49882736415313</v>
      </c>
      <c r="E150" s="15">
        <v>27</v>
      </c>
      <c r="G150" s="15">
        <f t="shared" si="15"/>
        <v>4751961.3030170528</v>
      </c>
      <c r="J150" s="15">
        <f>J146</f>
        <v>33000</v>
      </c>
      <c r="P150" s="1"/>
      <c r="Q150" s="1"/>
      <c r="R150" s="1"/>
      <c r="S150" s="1"/>
      <c r="T150" s="1"/>
      <c r="U150" s="1"/>
      <c r="V150" s="1"/>
      <c r="W150" s="1"/>
    </row>
    <row r="151" spans="1:23" s="15" customFormat="1" hidden="1" x14ac:dyDescent="0.25">
      <c r="A151" s="15">
        <v>7</v>
      </c>
      <c r="B151" s="15" t="s">
        <v>65</v>
      </c>
      <c r="C151" s="15">
        <v>80.4986727942633</v>
      </c>
      <c r="E151" s="15">
        <v>27</v>
      </c>
      <c r="G151" s="15">
        <f t="shared" si="15"/>
        <v>3101956.202210689</v>
      </c>
      <c r="J151" s="15">
        <f>J146</f>
        <v>33000</v>
      </c>
      <c r="P151" s="1"/>
      <c r="Q151" s="1"/>
      <c r="R151" s="1"/>
      <c r="S151" s="1"/>
      <c r="T151" s="1"/>
      <c r="U151" s="1"/>
      <c r="V151" s="1"/>
      <c r="W151" s="1"/>
    </row>
    <row r="152" spans="1:23" s="15" customFormat="1" hidden="1" x14ac:dyDescent="0.25">
      <c r="A152" s="15">
        <v>8</v>
      </c>
      <c r="B152" s="15" t="s">
        <v>63</v>
      </c>
      <c r="C152" s="15">
        <v>133.19883040935673</v>
      </c>
      <c r="E152" s="15">
        <v>27</v>
      </c>
      <c r="G152" s="15">
        <f t="shared" si="15"/>
        <v>4841061.4035087721</v>
      </c>
      <c r="J152" s="15">
        <f>J146</f>
        <v>33000</v>
      </c>
      <c r="P152" s="1"/>
      <c r="Q152" s="1"/>
      <c r="R152" s="1"/>
      <c r="S152" s="1"/>
      <c r="T152" s="1"/>
      <c r="U152" s="1"/>
      <c r="V152" s="1"/>
      <c r="W152" s="1"/>
    </row>
    <row r="153" spans="1:23" s="15" customFormat="1" hidden="1" x14ac:dyDescent="0.25">
      <c r="A153" s="15">
        <v>9</v>
      </c>
      <c r="B153" s="15" t="s">
        <v>63</v>
      </c>
      <c r="C153" s="15">
        <v>130.50094876660341</v>
      </c>
      <c r="E153" s="15">
        <v>27</v>
      </c>
      <c r="G153" s="15">
        <f t="shared" si="15"/>
        <v>4752031.3092979128</v>
      </c>
      <c r="J153" s="15">
        <f>J146</f>
        <v>33000</v>
      </c>
      <c r="P153" s="1"/>
      <c r="Q153" s="1"/>
      <c r="R153" s="1"/>
      <c r="S153" s="1"/>
      <c r="T153" s="1"/>
      <c r="U153" s="1"/>
      <c r="V153" s="1"/>
      <c r="W153" s="1"/>
    </row>
    <row r="154" spans="1:23" s="15" customFormat="1" hidden="1" x14ac:dyDescent="0.25">
      <c r="A154" s="15">
        <v>10</v>
      </c>
      <c r="B154" s="15" t="s">
        <v>66</v>
      </c>
      <c r="C154" s="15">
        <v>80.498330386957377</v>
      </c>
      <c r="E154" s="15">
        <v>27</v>
      </c>
      <c r="G154" s="15">
        <f t="shared" si="15"/>
        <v>3101944.9027695935</v>
      </c>
      <c r="J154" s="15">
        <f>J146</f>
        <v>33000</v>
      </c>
      <c r="P154" s="1"/>
      <c r="Q154" s="1"/>
      <c r="R154" s="1"/>
      <c r="S154" s="1"/>
      <c r="T154" s="1"/>
      <c r="U154" s="1"/>
      <c r="V154" s="1"/>
      <c r="W154" s="1"/>
    </row>
    <row r="155" spans="1:23" s="15" customFormat="1" hidden="1" x14ac:dyDescent="0.25">
      <c r="A155" s="15">
        <v>11</v>
      </c>
      <c r="B155" s="15" t="s">
        <v>63</v>
      </c>
      <c r="C155" s="15">
        <v>133.19768127333464</v>
      </c>
      <c r="E155" s="15">
        <v>27</v>
      </c>
      <c r="G155" s="15">
        <f t="shared" si="15"/>
        <v>4841023.4820200428</v>
      </c>
      <c r="J155" s="15">
        <f>J146</f>
        <v>33000</v>
      </c>
      <c r="P155" s="1"/>
      <c r="Q155" s="1"/>
      <c r="R155" s="1"/>
      <c r="S155" s="1"/>
      <c r="T155" s="1"/>
      <c r="U155" s="1"/>
      <c r="V155" s="1"/>
      <c r="W155" s="1"/>
    </row>
    <row r="156" spans="1:23" s="15" customFormat="1" hidden="1" x14ac:dyDescent="0.25">
      <c r="A156" s="15">
        <v>12</v>
      </c>
      <c r="B156" s="15" t="s">
        <v>63</v>
      </c>
      <c r="C156" s="15">
        <v>130.49740525239818</v>
      </c>
      <c r="E156" s="15">
        <v>27</v>
      </c>
      <c r="G156" s="15">
        <f t="shared" si="15"/>
        <v>4751914.3733291402</v>
      </c>
      <c r="J156" s="15">
        <f>J146</f>
        <v>33000</v>
      </c>
      <c r="P156" s="1"/>
      <c r="Q156" s="1"/>
      <c r="R156" s="1"/>
      <c r="S156" s="1"/>
      <c r="T156" s="1"/>
      <c r="U156" s="1"/>
      <c r="V156" s="1"/>
      <c r="W156" s="1"/>
    </row>
    <row r="157" spans="1:23" s="15" customFormat="1" hidden="1" x14ac:dyDescent="0.25">
      <c r="A157" s="15">
        <v>13</v>
      </c>
      <c r="B157" s="15" t="s">
        <v>67</v>
      </c>
      <c r="C157" s="15">
        <v>80.501636278634876</v>
      </c>
      <c r="E157" s="15">
        <v>27</v>
      </c>
      <c r="G157" s="15">
        <f t="shared" si="15"/>
        <v>3102053.9971949509</v>
      </c>
      <c r="J157" s="15">
        <f>J146</f>
        <v>33000</v>
      </c>
      <c r="P157" s="1"/>
      <c r="Q157" s="1"/>
      <c r="R157" s="1"/>
      <c r="S157" s="1"/>
      <c r="T157" s="1"/>
      <c r="U157" s="1"/>
      <c r="V157" s="1"/>
      <c r="W157" s="1"/>
    </row>
    <row r="158" spans="1:23" s="15" customFormat="1" hidden="1" x14ac:dyDescent="0.25">
      <c r="A158" s="15">
        <v>14</v>
      </c>
      <c r="B158" s="15" t="s">
        <v>63</v>
      </c>
      <c r="C158" s="15">
        <v>133.20225948946484</v>
      </c>
      <c r="E158" s="15">
        <v>27</v>
      </c>
      <c r="G158" s="15">
        <f t="shared" si="15"/>
        <v>4841174.5631523393</v>
      </c>
      <c r="J158" s="15">
        <f>J146</f>
        <v>33000</v>
      </c>
      <c r="P158" s="1"/>
      <c r="Q158" s="1"/>
      <c r="R158" s="1"/>
      <c r="S158" s="1"/>
      <c r="T158" s="1"/>
      <c r="U158" s="1"/>
      <c r="V158" s="1"/>
      <c r="W158" s="1"/>
    </row>
    <row r="159" spans="1:23" s="15" customFormat="1" hidden="1" x14ac:dyDescent="0.25">
      <c r="A159" s="15">
        <v>15</v>
      </c>
      <c r="B159" s="15" t="s">
        <v>63</v>
      </c>
      <c r="C159" s="15">
        <v>130.49951124144673</v>
      </c>
      <c r="E159" s="15">
        <v>27</v>
      </c>
      <c r="G159" s="15">
        <f t="shared" si="15"/>
        <v>4751983.8709677421</v>
      </c>
      <c r="J159" s="15">
        <f>J146</f>
        <v>33000</v>
      </c>
      <c r="P159" s="1"/>
      <c r="Q159" s="1"/>
      <c r="R159" s="1"/>
      <c r="S159" s="1"/>
      <c r="T159" s="1"/>
      <c r="U159" s="1"/>
      <c r="V159" s="1"/>
      <c r="W159" s="1"/>
    </row>
    <row r="160" spans="1:23" s="15" customFormat="1" hidden="1" x14ac:dyDescent="0.25">
      <c r="A160" s="15">
        <v>16</v>
      </c>
      <c r="B160" s="15" t="s">
        <v>63</v>
      </c>
      <c r="C160" s="15">
        <v>109.49834198104007</v>
      </c>
      <c r="E160" s="15">
        <v>27</v>
      </c>
      <c r="G160" s="15">
        <f t="shared" si="15"/>
        <v>4058945.2853743224</v>
      </c>
      <c r="J160" s="15">
        <f>J146</f>
        <v>33000</v>
      </c>
      <c r="P160" s="1"/>
      <c r="Q160" s="1"/>
      <c r="R160" s="1"/>
      <c r="S160" s="1"/>
      <c r="T160" s="1"/>
      <c r="U160" s="1"/>
      <c r="V160" s="1"/>
      <c r="W160" s="1"/>
    </row>
    <row r="161" spans="1:23" s="15" customFormat="1" hidden="1" x14ac:dyDescent="0.25">
      <c r="A161" s="15">
        <v>17</v>
      </c>
      <c r="B161" s="15" t="s">
        <v>63</v>
      </c>
      <c r="C161" s="15">
        <v>133.20110428493663</v>
      </c>
      <c r="E161" s="15">
        <v>27</v>
      </c>
      <c r="G161" s="15">
        <f t="shared" si="15"/>
        <v>4841136.4414029093</v>
      </c>
      <c r="J161" s="15">
        <f>J146</f>
        <v>33000</v>
      </c>
      <c r="P161" s="1"/>
      <c r="Q161" s="1"/>
      <c r="R161" s="1"/>
      <c r="S161" s="1"/>
      <c r="T161" s="1"/>
      <c r="U161" s="1"/>
      <c r="V161" s="1"/>
      <c r="W161" s="1"/>
    </row>
    <row r="162" spans="1:23" s="15" customFormat="1" hidden="1" x14ac:dyDescent="0.25">
      <c r="A162" s="15">
        <v>18</v>
      </c>
      <c r="B162" s="15" t="s">
        <v>63</v>
      </c>
      <c r="C162" s="15">
        <v>130.50159446216068</v>
      </c>
      <c r="E162" s="15">
        <v>27</v>
      </c>
      <c r="G162" s="15">
        <f t="shared" si="15"/>
        <v>4752052.6172513021</v>
      </c>
      <c r="J162" s="15">
        <f>J146</f>
        <v>33000</v>
      </c>
      <c r="P162" s="1"/>
      <c r="Q162" s="1"/>
      <c r="R162" s="1"/>
      <c r="S162" s="1"/>
      <c r="T162" s="1"/>
      <c r="U162" s="1"/>
      <c r="V162" s="1"/>
      <c r="W162" s="1"/>
    </row>
    <row r="163" spans="1:23" s="15" customFormat="1" hidden="1" x14ac:dyDescent="0.25">
      <c r="A163" s="15">
        <v>19</v>
      </c>
      <c r="B163" s="15" t="s">
        <v>63</v>
      </c>
      <c r="C163" s="15">
        <v>109.49961234299892</v>
      </c>
      <c r="E163" s="15">
        <v>27</v>
      </c>
      <c r="G163" s="15">
        <f t="shared" si="15"/>
        <v>4058987.2073189644</v>
      </c>
      <c r="J163" s="15">
        <f>J146</f>
        <v>33000</v>
      </c>
      <c r="P163" s="1"/>
      <c r="Q163" s="1"/>
      <c r="R163" s="1"/>
      <c r="S163" s="1"/>
      <c r="T163" s="1"/>
      <c r="U163" s="1"/>
      <c r="V163" s="1"/>
      <c r="W163" s="1"/>
    </row>
    <row r="164" spans="1:23" s="15" customFormat="1" hidden="1" x14ac:dyDescent="0.25">
      <c r="A164" s="15">
        <v>20</v>
      </c>
      <c r="B164" s="15" t="s">
        <v>63</v>
      </c>
      <c r="C164" s="15">
        <v>133.19996132276157</v>
      </c>
      <c r="E164" s="15">
        <v>27</v>
      </c>
      <c r="G164" s="15">
        <f t="shared" si="15"/>
        <v>4841098.7236511316</v>
      </c>
      <c r="J164" s="15">
        <f>J146</f>
        <v>33000</v>
      </c>
      <c r="P164" s="1"/>
      <c r="Q164" s="1"/>
      <c r="R164" s="1"/>
      <c r="S164" s="1"/>
      <c r="T164" s="1"/>
      <c r="U164" s="1"/>
      <c r="V164" s="1"/>
      <c r="W164" s="1"/>
    </row>
    <row r="165" spans="1:23" s="15" customFormat="1" hidden="1" x14ac:dyDescent="0.25">
      <c r="A165" s="15">
        <v>21</v>
      </c>
      <c r="B165" s="15" t="s">
        <v>63</v>
      </c>
      <c r="C165" s="15">
        <v>130.49810474201283</v>
      </c>
      <c r="E165" s="15">
        <v>27</v>
      </c>
      <c r="G165" s="15">
        <f t="shared" si="15"/>
        <v>4751937.4564864235</v>
      </c>
      <c r="J165" s="15">
        <f>J146</f>
        <v>33000</v>
      </c>
      <c r="P165" s="1"/>
      <c r="Q165" s="1"/>
      <c r="R165" s="1"/>
      <c r="S165" s="1"/>
      <c r="T165" s="1"/>
      <c r="U165" s="1"/>
      <c r="V165" s="1"/>
      <c r="W165" s="1"/>
    </row>
    <row r="166" spans="1:23" s="15" customFormat="1" hidden="1" x14ac:dyDescent="0.25">
      <c r="A166" s="15">
        <v>22</v>
      </c>
      <c r="B166" s="15" t="s">
        <v>63</v>
      </c>
      <c r="C166" s="15">
        <v>109.5008667514157</v>
      </c>
      <c r="E166" s="15">
        <v>27</v>
      </c>
      <c r="G166" s="15">
        <f t="shared" si="15"/>
        <v>4059028.602796718</v>
      </c>
      <c r="J166" s="15">
        <f>J146</f>
        <v>33000</v>
      </c>
      <c r="P166" s="1"/>
      <c r="Q166" s="1"/>
      <c r="R166" s="1"/>
      <c r="S166" s="1"/>
      <c r="T166" s="1"/>
      <c r="U166" s="1"/>
      <c r="V166" s="1"/>
      <c r="W166" s="1"/>
    </row>
    <row r="167" spans="1:23" s="15" customFormat="1" hidden="1" x14ac:dyDescent="0.25">
      <c r="A167" s="15">
        <v>23</v>
      </c>
      <c r="B167" s="15" t="s">
        <v>79</v>
      </c>
      <c r="C167" s="15">
        <v>151.99856605126368</v>
      </c>
      <c r="F167" s="15">
        <v>40</v>
      </c>
      <c r="G167" s="15">
        <f t="shared" si="15"/>
        <v>5669949.8117942289</v>
      </c>
      <c r="J167" s="15">
        <v>35000</v>
      </c>
      <c r="P167" s="1"/>
      <c r="Q167" s="1"/>
      <c r="R167" s="1"/>
      <c r="S167" s="1"/>
      <c r="T167" s="1"/>
      <c r="U167" s="1"/>
      <c r="V167" s="1"/>
      <c r="W167" s="1"/>
    </row>
    <row r="168" spans="1:23" s="15" customFormat="1" hidden="1" x14ac:dyDescent="0.25">
      <c r="A168" s="15">
        <v>24</v>
      </c>
      <c r="B168" s="15" t="s">
        <v>79</v>
      </c>
      <c r="C168" s="15">
        <v>151.99856605126368</v>
      </c>
      <c r="F168" s="15">
        <v>40</v>
      </c>
      <c r="G168" s="15">
        <f t="shared" si="15"/>
        <v>5669949.8117942289</v>
      </c>
      <c r="J168" s="15">
        <v>35000</v>
      </c>
      <c r="P168" s="1"/>
      <c r="Q168" s="1"/>
      <c r="R168" s="1"/>
      <c r="S168" s="1"/>
      <c r="T168" s="1"/>
      <c r="U168" s="1"/>
      <c r="V168" s="1"/>
      <c r="W168" s="1"/>
    </row>
    <row r="169" spans="1:23" s="15" customFormat="1" hidden="1" x14ac:dyDescent="0.25">
      <c r="A169" s="15">
        <v>25</v>
      </c>
      <c r="B169" s="15" t="s">
        <v>80</v>
      </c>
      <c r="C169" s="15">
        <v>186.99974875273679</v>
      </c>
      <c r="F169" s="15">
        <v>70</v>
      </c>
      <c r="G169" s="15">
        <f t="shared" si="15"/>
        <v>7157491.2063457873</v>
      </c>
      <c r="J169" s="15">
        <v>35000</v>
      </c>
      <c r="P169" s="1"/>
      <c r="Q169" s="1"/>
      <c r="R169" s="1"/>
      <c r="S169" s="1"/>
      <c r="T169" s="1"/>
      <c r="U169" s="1"/>
      <c r="V169" s="1"/>
      <c r="W169" s="1"/>
    </row>
    <row r="170" spans="1:23" s="15" customFormat="1" hidden="1" x14ac:dyDescent="0.25">
      <c r="A170" s="15">
        <v>26</v>
      </c>
      <c r="B170" s="15" t="s">
        <v>80</v>
      </c>
      <c r="C170" s="15">
        <v>186.99974875273679</v>
      </c>
      <c r="F170" s="15">
        <v>70</v>
      </c>
      <c r="G170" s="15">
        <f t="shared" si="15"/>
        <v>7157491.2063457873</v>
      </c>
      <c r="J170" s="15">
        <v>35000</v>
      </c>
    </row>
    <row r="171" spans="1:23" s="15" customFormat="1" ht="13.5" hidden="1" thickBot="1" x14ac:dyDescent="0.35">
      <c r="G171" s="64">
        <f>SUM(G145:G170)</f>
        <v>122437855.31412533</v>
      </c>
      <c r="H171" s="85"/>
      <c r="I171" s="85"/>
    </row>
    <row r="172" spans="1:23" s="15" customFormat="1" ht="13" hidden="1" thickTop="1" x14ac:dyDescent="0.25"/>
    <row r="173" spans="1:23" s="15" customFormat="1" hidden="1" x14ac:dyDescent="0.25"/>
    <row r="174" spans="1:23" s="15" customFormat="1" ht="13" hidden="1" x14ac:dyDescent="0.3">
      <c r="A174" s="43" t="s">
        <v>71</v>
      </c>
    </row>
    <row r="175" spans="1:23" s="15" customFormat="1" ht="13" hidden="1" x14ac:dyDescent="0.3">
      <c r="A175" s="43" t="s">
        <v>72</v>
      </c>
      <c r="B175" s="43" t="s">
        <v>0</v>
      </c>
      <c r="C175" s="43" t="s">
        <v>6</v>
      </c>
      <c r="D175" s="43"/>
      <c r="E175" s="43" t="s">
        <v>7</v>
      </c>
      <c r="F175" s="43" t="s">
        <v>37</v>
      </c>
      <c r="G175" s="43" t="s">
        <v>35</v>
      </c>
      <c r="H175" s="43"/>
      <c r="I175" s="43"/>
      <c r="J175" s="43" t="s">
        <v>34</v>
      </c>
      <c r="K175" s="43"/>
    </row>
    <row r="176" spans="1:23" s="15" customFormat="1" hidden="1" x14ac:dyDescent="0.25">
      <c r="A176" s="15">
        <v>1</v>
      </c>
      <c r="B176" s="15" t="s">
        <v>62</v>
      </c>
      <c r="C176" s="15">
        <v>127.60001302040949</v>
      </c>
      <c r="F176" s="15">
        <v>100</v>
      </c>
      <c r="G176" s="15">
        <f t="shared" ref="G176:G200" si="16">(C176+E176*0.5+F176*0.25)*J176</f>
        <v>4883200.4166531041</v>
      </c>
      <c r="J176" s="15">
        <v>32000</v>
      </c>
    </row>
    <row r="177" spans="1:11" s="15" customFormat="1" hidden="1" x14ac:dyDescent="0.25">
      <c r="A177" s="15">
        <v>2</v>
      </c>
      <c r="B177" s="15" t="s">
        <v>63</v>
      </c>
      <c r="C177" s="15">
        <v>128.0984091454153</v>
      </c>
      <c r="E177" s="15">
        <v>27</v>
      </c>
      <c r="G177" s="15">
        <f t="shared" si="16"/>
        <v>4672747.5017987052</v>
      </c>
      <c r="J177" s="72">
        <f>J111</f>
        <v>33000</v>
      </c>
      <c r="K177" s="72"/>
    </row>
    <row r="178" spans="1:11" s="15" customFormat="1" hidden="1" x14ac:dyDescent="0.25">
      <c r="A178" s="15">
        <v>3</v>
      </c>
      <c r="B178" s="15" t="s">
        <v>63</v>
      </c>
      <c r="C178" s="15">
        <v>128.0984091454153</v>
      </c>
      <c r="E178" s="15">
        <v>27</v>
      </c>
      <c r="G178" s="15">
        <f t="shared" si="16"/>
        <v>4672747.5017987052</v>
      </c>
      <c r="J178" s="15">
        <f>J177</f>
        <v>33000</v>
      </c>
    </row>
    <row r="179" spans="1:11" s="15" customFormat="1" hidden="1" x14ac:dyDescent="0.25">
      <c r="A179" s="15">
        <v>4</v>
      </c>
      <c r="B179" s="15" t="s">
        <v>64</v>
      </c>
      <c r="C179" s="15">
        <v>80.499021057258162</v>
      </c>
      <c r="E179" s="15">
        <v>27</v>
      </c>
      <c r="G179" s="15">
        <f t="shared" si="16"/>
        <v>3101967.6948895194</v>
      </c>
      <c r="J179" s="15">
        <f>J177</f>
        <v>33000</v>
      </c>
    </row>
    <row r="180" spans="1:11" s="15" customFormat="1" hidden="1" x14ac:dyDescent="0.25">
      <c r="A180" s="15">
        <v>5</v>
      </c>
      <c r="B180" s="15" t="s">
        <v>63</v>
      </c>
      <c r="C180" s="15">
        <v>128.1025875432251</v>
      </c>
      <c r="E180" s="15">
        <v>27</v>
      </c>
      <c r="G180" s="15">
        <f t="shared" si="16"/>
        <v>4672885.3889264278</v>
      </c>
      <c r="J180" s="15">
        <f>J177</f>
        <v>33000</v>
      </c>
    </row>
    <row r="181" spans="1:11" s="15" customFormat="1" hidden="1" x14ac:dyDescent="0.25">
      <c r="A181" s="15">
        <v>6</v>
      </c>
      <c r="B181" s="15" t="s">
        <v>63</v>
      </c>
      <c r="C181" s="15">
        <v>128.1025875432251</v>
      </c>
      <c r="E181" s="15">
        <v>27</v>
      </c>
      <c r="G181" s="15">
        <f t="shared" si="16"/>
        <v>4672885.3889264278</v>
      </c>
      <c r="J181" s="15">
        <f>J177</f>
        <v>33000</v>
      </c>
    </row>
    <row r="182" spans="1:11" s="15" customFormat="1" hidden="1" x14ac:dyDescent="0.25">
      <c r="A182" s="15">
        <v>7</v>
      </c>
      <c r="B182" s="15" t="s">
        <v>65</v>
      </c>
      <c r="C182" s="15">
        <v>80.4986727942633</v>
      </c>
      <c r="E182" s="15">
        <v>27</v>
      </c>
      <c r="G182" s="15">
        <f t="shared" si="16"/>
        <v>3101956.202210689</v>
      </c>
      <c r="J182" s="15">
        <f>J177</f>
        <v>33000</v>
      </c>
    </row>
    <row r="183" spans="1:11" s="15" customFormat="1" hidden="1" x14ac:dyDescent="0.25">
      <c r="A183" s="15">
        <v>8</v>
      </c>
      <c r="B183" s="15" t="s">
        <v>63</v>
      </c>
      <c r="C183" s="15">
        <v>128.10114224734201</v>
      </c>
      <c r="E183" s="15">
        <v>27</v>
      </c>
      <c r="G183" s="15">
        <f t="shared" si="16"/>
        <v>4672837.6941622868</v>
      </c>
      <c r="J183" s="15">
        <f>J177</f>
        <v>33000</v>
      </c>
    </row>
    <row r="184" spans="1:11" s="15" customFormat="1" hidden="1" x14ac:dyDescent="0.25">
      <c r="A184" s="15">
        <v>9</v>
      </c>
      <c r="B184" s="15" t="s">
        <v>63</v>
      </c>
      <c r="C184" s="15">
        <v>128.10114224734201</v>
      </c>
      <c r="E184" s="15">
        <v>27</v>
      </c>
      <c r="G184" s="15">
        <f t="shared" si="16"/>
        <v>4672837.6941622868</v>
      </c>
      <c r="J184" s="15">
        <f>J177</f>
        <v>33000</v>
      </c>
    </row>
    <row r="185" spans="1:11" s="15" customFormat="1" hidden="1" x14ac:dyDescent="0.25">
      <c r="A185" s="15">
        <v>10</v>
      </c>
      <c r="B185" s="15" t="s">
        <v>66</v>
      </c>
      <c r="C185" s="15">
        <v>80.498330386957377</v>
      </c>
      <c r="E185" s="15">
        <v>27</v>
      </c>
      <c r="G185" s="15">
        <f t="shared" si="16"/>
        <v>3101944.9027695935</v>
      </c>
      <c r="J185" s="15">
        <f>J177</f>
        <v>33000</v>
      </c>
    </row>
    <row r="186" spans="1:11" s="15" customFormat="1" hidden="1" x14ac:dyDescent="0.25">
      <c r="A186" s="15">
        <v>11</v>
      </c>
      <c r="B186" s="15" t="s">
        <v>63</v>
      </c>
      <c r="C186" s="15">
        <v>128.09971308414887</v>
      </c>
      <c r="E186" s="15">
        <v>27</v>
      </c>
      <c r="G186" s="15">
        <f t="shared" si="16"/>
        <v>4672790.5317769125</v>
      </c>
      <c r="J186" s="15">
        <f>J177</f>
        <v>33000</v>
      </c>
    </row>
    <row r="187" spans="1:11" s="15" customFormat="1" hidden="1" x14ac:dyDescent="0.25">
      <c r="A187" s="15">
        <v>12</v>
      </c>
      <c r="B187" s="15" t="s">
        <v>63</v>
      </c>
      <c r="C187" s="15">
        <v>128.09971308414887</v>
      </c>
      <c r="E187" s="15">
        <v>27</v>
      </c>
      <c r="G187" s="15">
        <f t="shared" si="16"/>
        <v>4672790.5317769125</v>
      </c>
      <c r="J187" s="15">
        <f>J177</f>
        <v>33000</v>
      </c>
    </row>
    <row r="188" spans="1:11" s="15" customFormat="1" hidden="1" x14ac:dyDescent="0.25">
      <c r="A188" s="15">
        <v>13</v>
      </c>
      <c r="B188" s="15" t="s">
        <v>67</v>
      </c>
      <c r="C188" s="15">
        <v>80.501636278634876</v>
      </c>
      <c r="E188" s="15">
        <v>27</v>
      </c>
      <c r="G188" s="15">
        <f t="shared" si="16"/>
        <v>3102053.9971949509</v>
      </c>
      <c r="J188" s="15">
        <f>J177</f>
        <v>33000</v>
      </c>
    </row>
    <row r="189" spans="1:11" s="15" customFormat="1" hidden="1" x14ac:dyDescent="0.25">
      <c r="A189" s="15">
        <v>14</v>
      </c>
      <c r="B189" s="15" t="s">
        <v>63</v>
      </c>
      <c r="C189" s="15">
        <v>128.09829978503029</v>
      </c>
      <c r="E189" s="15">
        <v>27</v>
      </c>
      <c r="G189" s="15">
        <f t="shared" si="16"/>
        <v>4672743.8929059999</v>
      </c>
      <c r="J189" s="15">
        <f>J177</f>
        <v>33000</v>
      </c>
    </row>
    <row r="190" spans="1:11" s="15" customFormat="1" hidden="1" x14ac:dyDescent="0.25">
      <c r="A190" s="15">
        <v>15</v>
      </c>
      <c r="B190" s="15" t="s">
        <v>63</v>
      </c>
      <c r="C190" s="15">
        <v>128.09829978503029</v>
      </c>
      <c r="E190" s="15">
        <v>27</v>
      </c>
      <c r="G190" s="15">
        <f t="shared" si="16"/>
        <v>4672743.8929059999</v>
      </c>
      <c r="J190" s="15">
        <f>J177</f>
        <v>33000</v>
      </c>
    </row>
    <row r="191" spans="1:11" s="15" customFormat="1" hidden="1" x14ac:dyDescent="0.25">
      <c r="A191" s="15">
        <v>16</v>
      </c>
      <c r="B191" s="15" t="s">
        <v>68</v>
      </c>
      <c r="C191" s="15">
        <v>80.501275017386604</v>
      </c>
      <c r="E191" s="15">
        <v>27</v>
      </c>
      <c r="G191" s="15">
        <f t="shared" si="16"/>
        <v>3102042.0755737578</v>
      </c>
      <c r="J191" s="15">
        <f>J177</f>
        <v>33000</v>
      </c>
    </row>
    <row r="192" spans="1:11" s="15" customFormat="1" hidden="1" x14ac:dyDescent="0.25">
      <c r="A192" s="15">
        <v>17</v>
      </c>
      <c r="B192" s="15" t="s">
        <v>63</v>
      </c>
      <c r="C192" s="15">
        <v>128.10238669050767</v>
      </c>
      <c r="E192" s="15">
        <v>27</v>
      </c>
      <c r="G192" s="15">
        <f t="shared" si="16"/>
        <v>4672878.7607867531</v>
      </c>
      <c r="J192" s="15">
        <f>J177</f>
        <v>33000</v>
      </c>
    </row>
    <row r="193" spans="1:10" s="15" customFormat="1" hidden="1" x14ac:dyDescent="0.25">
      <c r="A193" s="15">
        <v>18</v>
      </c>
      <c r="B193" s="15" t="s">
        <v>63</v>
      </c>
      <c r="C193" s="15">
        <v>128.10238669050767</v>
      </c>
      <c r="E193" s="15">
        <v>27</v>
      </c>
      <c r="G193" s="15">
        <f t="shared" si="16"/>
        <v>4672878.7607867531</v>
      </c>
      <c r="J193" s="15">
        <f>J177</f>
        <v>33000</v>
      </c>
    </row>
    <row r="194" spans="1:10" s="15" customFormat="1" hidden="1" x14ac:dyDescent="0.25">
      <c r="A194" s="15">
        <v>19</v>
      </c>
      <c r="B194" s="15" t="s">
        <v>69</v>
      </c>
      <c r="C194" s="15">
        <v>80.500919681177194</v>
      </c>
      <c r="E194" s="15">
        <v>27</v>
      </c>
      <c r="G194" s="15">
        <f t="shared" si="16"/>
        <v>3102030.3494788473</v>
      </c>
      <c r="J194" s="15">
        <f>J177</f>
        <v>33000</v>
      </c>
    </row>
    <row r="195" spans="1:10" s="15" customFormat="1" hidden="1" x14ac:dyDescent="0.25">
      <c r="A195" s="15">
        <v>20</v>
      </c>
      <c r="B195" s="15" t="s">
        <v>63</v>
      </c>
      <c r="C195" s="15">
        <v>128.10097417658884</v>
      </c>
      <c r="E195" s="15">
        <v>27</v>
      </c>
      <c r="G195" s="15">
        <f t="shared" si="16"/>
        <v>4672832.1478274316</v>
      </c>
      <c r="J195" s="15">
        <f>J177</f>
        <v>33000</v>
      </c>
    </row>
    <row r="196" spans="1:10" s="15" customFormat="1" hidden="1" x14ac:dyDescent="0.25">
      <c r="A196" s="15">
        <v>21</v>
      </c>
      <c r="B196" s="15" t="s">
        <v>63</v>
      </c>
      <c r="C196" s="15">
        <v>128.10097417658884</v>
      </c>
      <c r="E196" s="15">
        <v>27</v>
      </c>
      <c r="G196" s="15">
        <f t="shared" si="16"/>
        <v>4672832.1478274316</v>
      </c>
      <c r="J196" s="15">
        <f>J177</f>
        <v>33000</v>
      </c>
    </row>
    <row r="197" spans="1:10" s="15" customFormat="1" hidden="1" x14ac:dyDescent="0.25">
      <c r="A197" s="15">
        <v>22</v>
      </c>
      <c r="B197" s="15" t="s">
        <v>79</v>
      </c>
      <c r="C197" s="15">
        <v>138.99856605126368</v>
      </c>
      <c r="E197" s="15">
        <v>27</v>
      </c>
      <c r="G197" s="15">
        <f t="shared" si="16"/>
        <v>5032452.6796917012</v>
      </c>
      <c r="J197" s="15">
        <f>J177</f>
        <v>33000</v>
      </c>
    </row>
    <row r="198" spans="1:10" s="15" customFormat="1" hidden="1" x14ac:dyDescent="0.25">
      <c r="A198" s="15">
        <v>23</v>
      </c>
      <c r="B198" s="15" t="s">
        <v>79</v>
      </c>
      <c r="C198" s="15">
        <v>151.99856605126368</v>
      </c>
      <c r="F198" s="15">
        <v>40</v>
      </c>
      <c r="G198" s="15">
        <f t="shared" si="16"/>
        <v>5669949.8117942289</v>
      </c>
      <c r="J198" s="15">
        <v>35000</v>
      </c>
    </row>
    <row r="199" spans="1:10" s="15" customFormat="1" hidden="1" x14ac:dyDescent="0.25">
      <c r="A199" s="15">
        <v>24</v>
      </c>
      <c r="B199" s="15" t="s">
        <v>80</v>
      </c>
      <c r="C199" s="15">
        <v>186.99974875273679</v>
      </c>
      <c r="F199" s="15">
        <v>40</v>
      </c>
      <c r="G199" s="15">
        <f t="shared" si="16"/>
        <v>6894991.2063457873</v>
      </c>
      <c r="J199" s="15">
        <v>35000</v>
      </c>
    </row>
    <row r="200" spans="1:10" s="15" customFormat="1" hidden="1" x14ac:dyDescent="0.25">
      <c r="A200" s="15">
        <v>25</v>
      </c>
      <c r="B200" s="15" t="s">
        <v>80</v>
      </c>
      <c r="C200" s="15">
        <v>186.99974875273679</v>
      </c>
      <c r="F200" s="15">
        <v>70</v>
      </c>
      <c r="G200" s="15">
        <f t="shared" si="16"/>
        <v>7157491.2063457873</v>
      </c>
      <c r="J200" s="15">
        <v>35000</v>
      </c>
    </row>
    <row r="201" spans="1:10" s="15" customFormat="1" ht="13.5" hidden="1" thickBot="1" x14ac:dyDescent="0.35">
      <c r="G201" s="64">
        <f>SUM(G176:G200)</f>
        <v>113669512.37931702</v>
      </c>
      <c r="H201" s="85"/>
      <c r="I201" s="85"/>
    </row>
    <row r="202" spans="1:10" s="15" customFormat="1" ht="13" hidden="1" thickTop="1" x14ac:dyDescent="0.25"/>
    <row r="203" spans="1:10" s="15" customFormat="1" hidden="1" x14ac:dyDescent="0.25"/>
    <row r="204" spans="1:10" s="15" customFormat="1" hidden="1" x14ac:dyDescent="0.25"/>
    <row r="205" spans="1:10" s="15" customFormat="1" hidden="1" x14ac:dyDescent="0.25"/>
    <row r="206" spans="1:10" s="15" customFormat="1" hidden="1" x14ac:dyDescent="0.25"/>
    <row r="207" spans="1:10" s="15" customFormat="1" hidden="1" x14ac:dyDescent="0.25"/>
    <row r="208" spans="1:10" s="15" customFormat="1" ht="13" hidden="1" x14ac:dyDescent="0.3">
      <c r="B208" s="43" t="s">
        <v>76</v>
      </c>
      <c r="C208" s="43" t="s">
        <v>77</v>
      </c>
      <c r="D208" s="43"/>
    </row>
    <row r="209" spans="1:3" s="15" customFormat="1" hidden="1" x14ac:dyDescent="0.25">
      <c r="A209" s="15" t="s">
        <v>73</v>
      </c>
      <c r="B209" s="15">
        <v>3</v>
      </c>
      <c r="C209" s="15">
        <v>1</v>
      </c>
    </row>
    <row r="210" spans="1:3" s="15" customFormat="1" hidden="1" x14ac:dyDescent="0.25">
      <c r="A210" s="15" t="s">
        <v>75</v>
      </c>
      <c r="C210" s="15">
        <v>1</v>
      </c>
    </row>
    <row r="211" spans="1:3" s="15" customFormat="1" hidden="1" x14ac:dyDescent="0.25">
      <c r="A211" s="15" t="s">
        <v>74</v>
      </c>
      <c r="B211" s="15">
        <v>1</v>
      </c>
      <c r="C211" s="15">
        <v>1</v>
      </c>
    </row>
    <row r="212" spans="1:3" s="15" customFormat="1" hidden="1" x14ac:dyDescent="0.25"/>
    <row r="213" spans="1:3" s="15" customFormat="1" hidden="1" x14ac:dyDescent="0.25"/>
    <row r="214" spans="1:3" s="15" customFormat="1" hidden="1" x14ac:dyDescent="0.25"/>
    <row r="215" spans="1:3" s="15" customFormat="1" hidden="1" x14ac:dyDescent="0.25"/>
    <row r="216" spans="1:3" s="15" customFormat="1" hidden="1" x14ac:dyDescent="0.25"/>
    <row r="217" spans="1:3" s="15" customFormat="1" hidden="1" x14ac:dyDescent="0.25"/>
    <row r="218" spans="1:3" s="15" customFormat="1" hidden="1" x14ac:dyDescent="0.25"/>
    <row r="219" spans="1:3" s="15" customFormat="1" hidden="1" x14ac:dyDescent="0.25"/>
    <row r="220" spans="1:3" s="15" customFormat="1" hidden="1" x14ac:dyDescent="0.25"/>
    <row r="221" spans="1:3" s="15" customFormat="1" hidden="1" x14ac:dyDescent="0.25"/>
    <row r="222" spans="1:3" s="15" customFormat="1" hidden="1" x14ac:dyDescent="0.25"/>
    <row r="223" spans="1:3" s="15" customFormat="1" hidden="1" x14ac:dyDescent="0.25"/>
    <row r="224" spans="1:3" s="15" customFormat="1" hidden="1" x14ac:dyDescent="0.25"/>
    <row r="225" s="15" customFormat="1" hidden="1" x14ac:dyDescent="0.25"/>
    <row r="226" s="15" customFormat="1" hidden="1" x14ac:dyDescent="0.25"/>
    <row r="227" s="15" customFormat="1" hidden="1" x14ac:dyDescent="0.25"/>
    <row r="228" s="15" customFormat="1" hidden="1" x14ac:dyDescent="0.25"/>
    <row r="229" s="15" customFormat="1" hidden="1" x14ac:dyDescent="0.25"/>
    <row r="230" s="15" customFormat="1" hidden="1" x14ac:dyDescent="0.25"/>
    <row r="231" s="15" customFormat="1" hidden="1" x14ac:dyDescent="0.25"/>
    <row r="232" s="15" customFormat="1" hidden="1" x14ac:dyDescent="0.25"/>
    <row r="233" s="15" customFormat="1" hidden="1" x14ac:dyDescent="0.25"/>
    <row r="234" s="15" customFormat="1" hidden="1" x14ac:dyDescent="0.25"/>
    <row r="235" s="15" customFormat="1" hidden="1" x14ac:dyDescent="0.25"/>
    <row r="236" s="15" customFormat="1" hidden="1" x14ac:dyDescent="0.25"/>
    <row r="237" s="15" customFormat="1" hidden="1" x14ac:dyDescent="0.25"/>
    <row r="238" s="15" customFormat="1" hidden="1" x14ac:dyDescent="0.25"/>
    <row r="239" s="15" customFormat="1" hidden="1" x14ac:dyDescent="0.25"/>
    <row r="240" s="15" customFormat="1" hidden="1" x14ac:dyDescent="0.25"/>
    <row r="241" s="15" customFormat="1" hidden="1" x14ac:dyDescent="0.25"/>
    <row r="242" s="15" customFormat="1" hidden="1" x14ac:dyDescent="0.25"/>
    <row r="243" s="15" customFormat="1" hidden="1" x14ac:dyDescent="0.25"/>
    <row r="244" s="15" customFormat="1" hidden="1" x14ac:dyDescent="0.25"/>
    <row r="245" s="15" customFormat="1" hidden="1" x14ac:dyDescent="0.25"/>
    <row r="246" s="15" customFormat="1" hidden="1" x14ac:dyDescent="0.25"/>
    <row r="247" s="15" customFormat="1" hidden="1" x14ac:dyDescent="0.25"/>
    <row r="248" s="15" customFormat="1" hidden="1" x14ac:dyDescent="0.25"/>
    <row r="249" s="15" customFormat="1" hidden="1" x14ac:dyDescent="0.25"/>
    <row r="250" s="15" customFormat="1" hidden="1" x14ac:dyDescent="0.25"/>
    <row r="251" s="15" customFormat="1" hidden="1" x14ac:dyDescent="0.25"/>
    <row r="252" s="15" customFormat="1" hidden="1" x14ac:dyDescent="0.25"/>
    <row r="253" s="15" customFormat="1" hidden="1" x14ac:dyDescent="0.25"/>
    <row r="254" s="15" customFormat="1" hidden="1" x14ac:dyDescent="0.25"/>
    <row r="255" s="15" customFormat="1" hidden="1" x14ac:dyDescent="0.25"/>
    <row r="256" s="15" customFormat="1" hidden="1" x14ac:dyDescent="0.25"/>
    <row r="257" spans="1:4" s="15" customFormat="1" hidden="1" x14ac:dyDescent="0.25"/>
    <row r="258" spans="1:4" s="15" customFormat="1" hidden="1" x14ac:dyDescent="0.25"/>
    <row r="259" spans="1:4" s="15" customFormat="1" hidden="1" x14ac:dyDescent="0.25"/>
    <row r="260" spans="1:4" s="15" customFormat="1" hidden="1" x14ac:dyDescent="0.25"/>
    <row r="261" spans="1:4" s="15" customFormat="1" hidden="1" x14ac:dyDescent="0.25"/>
    <row r="262" spans="1:4" s="15" customFormat="1" hidden="1" x14ac:dyDescent="0.25"/>
    <row r="263" spans="1:4" s="15" customFormat="1" hidden="1" x14ac:dyDescent="0.25"/>
    <row r="264" spans="1:4" s="15" customFormat="1" hidden="1" x14ac:dyDescent="0.25"/>
    <row r="265" spans="1:4" s="15" customFormat="1" hidden="1" x14ac:dyDescent="0.25"/>
    <row r="266" spans="1:4" s="15" customFormat="1" ht="13" hidden="1" x14ac:dyDescent="0.3">
      <c r="A266" s="59"/>
    </row>
    <row r="267" spans="1:4" s="15" customFormat="1" hidden="1" x14ac:dyDescent="0.25">
      <c r="A267" s="41"/>
    </row>
    <row r="268" spans="1:4" s="15" customFormat="1" hidden="1" x14ac:dyDescent="0.25">
      <c r="A268" s="41"/>
    </row>
    <row r="269" spans="1:4" s="15" customFormat="1" hidden="1" x14ac:dyDescent="0.25">
      <c r="A269" s="41"/>
    </row>
    <row r="270" spans="1:4" s="15" customFormat="1" hidden="1" x14ac:dyDescent="0.25"/>
    <row r="271" spans="1:4" s="15" customFormat="1" hidden="1" x14ac:dyDescent="0.25"/>
    <row r="272" spans="1:4" s="15" customFormat="1" hidden="1" x14ac:dyDescent="0.25">
      <c r="A272" s="41"/>
      <c r="C272" s="41"/>
      <c r="D272" s="41"/>
    </row>
    <row r="273" spans="1:21" s="15" customFormat="1" hidden="1" x14ac:dyDescent="0.25"/>
    <row r="274" spans="1:21" s="15" customFormat="1" hidden="1" x14ac:dyDescent="0.25"/>
    <row r="275" spans="1:21" s="15" customFormat="1" hidden="1" x14ac:dyDescent="0.25"/>
    <row r="276" spans="1:21" s="15" customFormat="1" hidden="1" x14ac:dyDescent="0.25"/>
    <row r="277" spans="1:21" s="15" customFormat="1" hidden="1" x14ac:dyDescent="0.25"/>
    <row r="278" spans="1:21" s="15" customFormat="1" hidden="1" x14ac:dyDescent="0.25"/>
    <row r="279" spans="1:21" s="15" customFormat="1" hidden="1" x14ac:dyDescent="0.25"/>
    <row r="280" spans="1:21" hidden="1" x14ac:dyDescent="0.25">
      <c r="A280" s="15"/>
      <c r="B280" s="15"/>
      <c r="C280" s="15"/>
      <c r="D280" s="15"/>
      <c r="F280" s="15"/>
      <c r="G280" s="15"/>
      <c r="H280" s="15"/>
      <c r="I280" s="15"/>
      <c r="J280" s="15"/>
      <c r="K280" s="15"/>
    </row>
    <row r="281" spans="1:21" hidden="1" x14ac:dyDescent="0.25">
      <c r="A281" s="15"/>
      <c r="B281" s="15"/>
      <c r="C281" s="15"/>
      <c r="D281" s="15"/>
    </row>
    <row r="282" spans="1:21" hidden="1" x14ac:dyDescent="0.25"/>
    <row r="283" spans="1:21" hidden="1" x14ac:dyDescent="0.25">
      <c r="A283" s="1" t="s">
        <v>60</v>
      </c>
    </row>
    <row r="284" spans="1:21" hidden="1" x14ac:dyDescent="0.25"/>
    <row r="285" spans="1:21" hidden="1" x14ac:dyDescent="0.25">
      <c r="C285" s="1" t="s">
        <v>34</v>
      </c>
      <c r="F285" s="1" t="s">
        <v>35</v>
      </c>
      <c r="G285" s="1" t="s">
        <v>36</v>
      </c>
      <c r="J285" s="1" t="s">
        <v>6</v>
      </c>
      <c r="M285" s="1" t="s">
        <v>7</v>
      </c>
      <c r="N285" s="1" t="s">
        <v>37</v>
      </c>
      <c r="O285" s="1" t="s">
        <v>0</v>
      </c>
    </row>
    <row r="286" spans="1:21" hidden="1" x14ac:dyDescent="0.25">
      <c r="A286" s="1" t="s">
        <v>8</v>
      </c>
      <c r="C286" s="1" t="str">
        <f>LEFT(A286,9)</f>
        <v xml:space="preserve">₪ 30,615 </v>
      </c>
      <c r="E286" s="1" t="str">
        <f>LEFT(A286,20)</f>
        <v>₪ 30,615 ₪ 3,980,000</v>
      </c>
      <c r="F286" s="1" t="str">
        <f>RIGHT(E286,9)</f>
        <v>3,980,000</v>
      </c>
      <c r="G286" s="1">
        <f>F286/1.17</f>
        <v>3401709.401709402</v>
      </c>
      <c r="J286" s="1" t="e">
        <f>F286/C286</f>
        <v>#VALUE!</v>
      </c>
      <c r="L286" s="1">
        <v>1</v>
      </c>
      <c r="N286" s="1">
        <v>100</v>
      </c>
      <c r="O286" s="61" t="str">
        <f>LEFT(U286,20)</f>
        <v>דירת גן 5 חדרים קרקע</v>
      </c>
      <c r="U286" s="1" t="str">
        <f>RIGHT(A286,38)</f>
        <v>דירת גן 5 חדרים קרקע 3,401,709 100 130</v>
      </c>
    </row>
    <row r="287" spans="1:21" hidden="1" x14ac:dyDescent="0.25">
      <c r="A287" s="1" t="s">
        <v>9</v>
      </c>
      <c r="C287" s="1" t="str">
        <f t="shared" ref="C287:C311" si="17">LEFT(A287,9)</f>
        <v xml:space="preserve">₪ 25,034 </v>
      </c>
      <c r="E287" s="1" t="str">
        <f t="shared" ref="E287:E311" si="18">LEFT(A287,20)</f>
        <v>₪ 25,034 ₪ 3,660,000</v>
      </c>
      <c r="F287" s="1" t="str">
        <f t="shared" ref="F287:F311" si="19">RIGHT(E287,9)</f>
        <v>3,660,000</v>
      </c>
      <c r="G287" s="1">
        <f t="shared" ref="G287:G311" si="20">F287/1.17</f>
        <v>3128205.1282051285</v>
      </c>
      <c r="J287" s="1" t="e">
        <f>F287/C287-13</f>
        <v>#VALUE!</v>
      </c>
      <c r="L287" s="1">
        <v>2</v>
      </c>
      <c r="M287" s="1">
        <v>27</v>
      </c>
      <c r="O287" s="61" t="str">
        <f>LEFT(U287,13)</f>
        <v xml:space="preserve"> דירת 5 חדרים</v>
      </c>
      <c r="U287" s="1" t="str">
        <f>RIGHT(A287,30)</f>
        <v xml:space="preserve"> דירת 5 חדרים 3,128,205 27 133</v>
      </c>
    </row>
    <row r="288" spans="1:21" hidden="1" x14ac:dyDescent="0.25">
      <c r="A288" s="1" t="s">
        <v>10</v>
      </c>
      <c r="C288" s="1" t="str">
        <f t="shared" si="17"/>
        <v xml:space="preserve">₪ 25,017 </v>
      </c>
      <c r="E288" s="1" t="str">
        <f t="shared" si="18"/>
        <v>₪ 25,017 ₪ 3,590,000</v>
      </c>
      <c r="F288" s="1" t="str">
        <f t="shared" si="19"/>
        <v>3,590,000</v>
      </c>
      <c r="G288" s="1">
        <f t="shared" si="20"/>
        <v>3068376.0683760685</v>
      </c>
      <c r="J288" s="1" t="e">
        <f t="shared" ref="J288:J307" si="21">F288/C288-13</f>
        <v>#VALUE!</v>
      </c>
      <c r="L288" s="1">
        <v>3</v>
      </c>
      <c r="M288" s="1">
        <v>27</v>
      </c>
      <c r="O288" s="61" t="str">
        <f t="shared" ref="O288:O311" si="22">LEFT(U288,13)</f>
        <v xml:space="preserve"> דירת 5 חדרים</v>
      </c>
      <c r="U288" s="1" t="str">
        <f t="shared" ref="U288:U311" si="23">RIGHT(A288,30)</f>
        <v xml:space="preserve"> דירת 5 חדרים 3,068,376 27 130</v>
      </c>
    </row>
    <row r="289" spans="1:21" hidden="1" x14ac:dyDescent="0.25">
      <c r="A289" s="1" t="s">
        <v>11</v>
      </c>
      <c r="C289" s="1" t="str">
        <f t="shared" si="17"/>
        <v xml:space="preserve">₪ 25,027 </v>
      </c>
      <c r="E289" s="1" t="str">
        <f t="shared" si="18"/>
        <v>₪ 25,027 ₪ 2,340,000</v>
      </c>
      <c r="F289" s="1" t="str">
        <f t="shared" si="19"/>
        <v>2,340,000</v>
      </c>
      <c r="G289" s="1">
        <f t="shared" si="20"/>
        <v>2000000.0000000002</v>
      </c>
      <c r="J289" s="1" t="e">
        <f t="shared" si="21"/>
        <v>#VALUE!</v>
      </c>
      <c r="L289" s="1">
        <v>4</v>
      </c>
      <c r="M289" s="1">
        <v>27</v>
      </c>
      <c r="O289" s="61" t="str">
        <f t="shared" si="22"/>
        <v>4 דירת 3 חדרי</v>
      </c>
      <c r="U289" s="1" t="str">
        <f t="shared" si="23"/>
        <v>4 דירת 3 חדרים 2,000,000 27 80</v>
      </c>
    </row>
    <row r="290" spans="1:21" hidden="1" x14ac:dyDescent="0.25">
      <c r="A290" s="1" t="s">
        <v>12</v>
      </c>
      <c r="C290" s="1" t="str">
        <f t="shared" si="17"/>
        <v xml:space="preserve">₪ 25,171 </v>
      </c>
      <c r="E290" s="1" t="str">
        <f t="shared" si="18"/>
        <v>₪ 25,171 ₪ 3,680,000</v>
      </c>
      <c r="F290" s="1" t="str">
        <f t="shared" si="19"/>
        <v>3,680,000</v>
      </c>
      <c r="G290" s="1">
        <f t="shared" si="20"/>
        <v>3145299.1452991455</v>
      </c>
      <c r="J290" s="1" t="e">
        <f t="shared" si="21"/>
        <v>#VALUE!</v>
      </c>
      <c r="L290" s="1">
        <v>5</v>
      </c>
      <c r="M290" s="1">
        <v>27</v>
      </c>
      <c r="O290" s="61" t="str">
        <f t="shared" si="22"/>
        <v xml:space="preserve"> דירת 5 חדרים</v>
      </c>
      <c r="U290" s="1" t="str">
        <f t="shared" si="23"/>
        <v xml:space="preserve"> דירת 5 חדרים 3,145,299 27 133</v>
      </c>
    </row>
    <row r="291" spans="1:21" hidden="1" x14ac:dyDescent="0.25">
      <c r="A291" s="1" t="s">
        <v>13</v>
      </c>
      <c r="C291" s="1" t="str">
        <f t="shared" si="17"/>
        <v xml:space="preserve">₪ 25,157 </v>
      </c>
      <c r="E291" s="1" t="str">
        <f t="shared" si="18"/>
        <v>₪ 25,157 ₪ 3,610,000</v>
      </c>
      <c r="F291" s="1" t="str">
        <f t="shared" si="19"/>
        <v>3,610,000</v>
      </c>
      <c r="G291" s="1">
        <f t="shared" si="20"/>
        <v>3085470.0854700855</v>
      </c>
      <c r="J291" s="1" t="e">
        <f t="shared" si="21"/>
        <v>#VALUE!</v>
      </c>
      <c r="L291" s="1">
        <v>6</v>
      </c>
      <c r="M291" s="1">
        <v>27</v>
      </c>
      <c r="O291" s="61" t="str">
        <f t="shared" si="22"/>
        <v xml:space="preserve"> דירת 5 חדרים</v>
      </c>
      <c r="U291" s="1" t="str">
        <f t="shared" si="23"/>
        <v xml:space="preserve"> דירת 5 חדרים 3,085,470 27 130</v>
      </c>
    </row>
    <row r="292" spans="1:21" hidden="1" x14ac:dyDescent="0.25">
      <c r="A292" s="1" t="s">
        <v>14</v>
      </c>
      <c r="C292" s="1" t="str">
        <f t="shared" si="17"/>
        <v xml:space="preserve">₪ 25,241 </v>
      </c>
      <c r="E292" s="1" t="str">
        <f t="shared" si="18"/>
        <v>₪ 25,241 ₪ 2,360,000</v>
      </c>
      <c r="F292" s="1" t="str">
        <f t="shared" si="19"/>
        <v>2,360,000</v>
      </c>
      <c r="G292" s="1">
        <f t="shared" si="20"/>
        <v>2017094.0170940172</v>
      </c>
      <c r="J292" s="1" t="e">
        <f t="shared" si="21"/>
        <v>#VALUE!</v>
      </c>
      <c r="L292" s="1">
        <v>7</v>
      </c>
      <c r="M292" s="1">
        <v>27</v>
      </c>
      <c r="O292" s="61" t="str">
        <f t="shared" si="22"/>
        <v>7 דירת 3 חדרי</v>
      </c>
      <c r="U292" s="1" t="str">
        <f t="shared" si="23"/>
        <v>7 דירת 3 חדרים 2,017,094 27 80</v>
      </c>
    </row>
    <row r="293" spans="1:21" hidden="1" x14ac:dyDescent="0.25">
      <c r="A293" s="1" t="s">
        <v>15</v>
      </c>
      <c r="C293" s="1" t="str">
        <f t="shared" si="17"/>
        <v xml:space="preserve">₪ 25,308 </v>
      </c>
      <c r="E293" s="1" t="str">
        <f t="shared" si="18"/>
        <v>₪ 25,308 ₪ 3,700,000</v>
      </c>
      <c r="F293" s="1" t="str">
        <f t="shared" si="19"/>
        <v>3,700,000</v>
      </c>
      <c r="G293" s="1">
        <f t="shared" si="20"/>
        <v>3162393.1623931625</v>
      </c>
      <c r="J293" s="1" t="e">
        <f t="shared" si="21"/>
        <v>#VALUE!</v>
      </c>
      <c r="L293" s="1">
        <v>8</v>
      </c>
      <c r="M293" s="1">
        <v>27</v>
      </c>
      <c r="O293" s="61" t="str">
        <f t="shared" si="22"/>
        <v xml:space="preserve"> דירת 5 חדרים</v>
      </c>
      <c r="U293" s="1" t="str">
        <f t="shared" si="23"/>
        <v xml:space="preserve"> דירת 5 חדרים 3,162,393 27 133</v>
      </c>
    </row>
    <row r="294" spans="1:21" hidden="1" x14ac:dyDescent="0.25">
      <c r="A294" s="1" t="s">
        <v>16</v>
      </c>
      <c r="C294" s="1" t="str">
        <f t="shared" si="17"/>
        <v xml:space="preserve">₪ 25,296 </v>
      </c>
      <c r="E294" s="1" t="str">
        <f t="shared" si="18"/>
        <v>₪ 25,296 ₪ 3,630,000</v>
      </c>
      <c r="F294" s="1" t="str">
        <f t="shared" si="19"/>
        <v>3,630,000</v>
      </c>
      <c r="G294" s="1">
        <f t="shared" si="20"/>
        <v>3102564.102564103</v>
      </c>
      <c r="J294" s="1" t="e">
        <f t="shared" si="21"/>
        <v>#VALUE!</v>
      </c>
      <c r="L294" s="1">
        <v>9</v>
      </c>
      <c r="M294" s="1">
        <v>27</v>
      </c>
      <c r="O294" s="61" t="str">
        <f t="shared" si="22"/>
        <v xml:space="preserve"> דירת 5 חדרים</v>
      </c>
      <c r="U294" s="1" t="str">
        <f t="shared" si="23"/>
        <v xml:space="preserve"> דירת 5 חדרים 3,102,564 27 130</v>
      </c>
    </row>
    <row r="295" spans="1:21" hidden="1" x14ac:dyDescent="0.25">
      <c r="A295" s="1" t="s">
        <v>17</v>
      </c>
      <c r="C295" s="1" t="str">
        <f t="shared" si="17"/>
        <v xml:space="preserve">₪ 25,455 </v>
      </c>
      <c r="E295" s="1" t="str">
        <f t="shared" si="18"/>
        <v>₪ 25,455 ₪ 2,380,000</v>
      </c>
      <c r="F295" s="1" t="str">
        <f t="shared" si="19"/>
        <v>2,380,000</v>
      </c>
      <c r="G295" s="1">
        <f t="shared" si="20"/>
        <v>2034188.0341880342</v>
      </c>
      <c r="J295" s="1" t="e">
        <f t="shared" si="21"/>
        <v>#VALUE!</v>
      </c>
      <c r="L295" s="1">
        <v>10</v>
      </c>
      <c r="M295" s="1">
        <v>27</v>
      </c>
      <c r="O295" s="61" t="str">
        <f t="shared" si="22"/>
        <v>0 דירת 3 חדרי</v>
      </c>
      <c r="U295" s="1" t="str">
        <f t="shared" si="23"/>
        <v>0 דירת 3 חדרים 2,034,188 27 80</v>
      </c>
    </row>
    <row r="296" spans="1:21" hidden="1" x14ac:dyDescent="0.25">
      <c r="A296" s="1" t="s">
        <v>18</v>
      </c>
      <c r="C296" s="1" t="str">
        <f t="shared" si="17"/>
        <v xml:space="preserve">₪ 25,445 </v>
      </c>
      <c r="E296" s="1" t="str">
        <f t="shared" si="18"/>
        <v>₪ 25,445 ₪ 3,720,000</v>
      </c>
      <c r="F296" s="1" t="str">
        <f t="shared" si="19"/>
        <v>3,720,000</v>
      </c>
      <c r="G296" s="1">
        <f t="shared" si="20"/>
        <v>3179487.1794871795</v>
      </c>
      <c r="J296" s="1" t="e">
        <f t="shared" si="21"/>
        <v>#VALUE!</v>
      </c>
      <c r="L296" s="1">
        <v>11</v>
      </c>
      <c r="M296" s="1">
        <v>27</v>
      </c>
      <c r="O296" s="61" t="str">
        <f t="shared" si="22"/>
        <v xml:space="preserve"> דירת 5 חדרים</v>
      </c>
      <c r="U296" s="1" t="str">
        <f t="shared" si="23"/>
        <v xml:space="preserve"> דירת 5 חדרים 3,179,487 27 133</v>
      </c>
    </row>
    <row r="297" spans="1:21" hidden="1" x14ac:dyDescent="0.25">
      <c r="A297" s="1" t="s">
        <v>19</v>
      </c>
      <c r="C297" s="1" t="str">
        <f t="shared" si="17"/>
        <v xml:space="preserve">₪ 25,436 </v>
      </c>
      <c r="E297" s="1" t="str">
        <f t="shared" si="18"/>
        <v>₪ 25,436 ₪ 3,650,000</v>
      </c>
      <c r="F297" s="1" t="str">
        <f t="shared" si="19"/>
        <v>3,650,000</v>
      </c>
      <c r="G297" s="1">
        <f t="shared" si="20"/>
        <v>3119658.11965812</v>
      </c>
      <c r="J297" s="1" t="e">
        <f t="shared" si="21"/>
        <v>#VALUE!</v>
      </c>
      <c r="L297" s="1">
        <v>12</v>
      </c>
      <c r="M297" s="1">
        <v>27</v>
      </c>
      <c r="O297" s="61" t="str">
        <f t="shared" si="22"/>
        <v xml:space="preserve"> דירת 5 חדרים</v>
      </c>
      <c r="U297" s="1" t="str">
        <f t="shared" si="23"/>
        <v xml:space="preserve"> דירת 5 חדרים 3,119,658 27 130</v>
      </c>
    </row>
    <row r="298" spans="1:21" hidden="1" x14ac:dyDescent="0.25">
      <c r="A298" s="1" t="s">
        <v>20</v>
      </c>
      <c r="C298" s="1" t="str">
        <f t="shared" si="17"/>
        <v xml:space="preserve">₪ 25,668 </v>
      </c>
      <c r="E298" s="1" t="str">
        <f t="shared" si="18"/>
        <v>₪ 25,668 ₪ 2,400,000</v>
      </c>
      <c r="F298" s="1" t="str">
        <f t="shared" si="19"/>
        <v>2,400,000</v>
      </c>
      <c r="G298" s="1">
        <f t="shared" si="20"/>
        <v>2051282.0512820515</v>
      </c>
      <c r="J298" s="1" t="e">
        <f t="shared" si="21"/>
        <v>#VALUE!</v>
      </c>
      <c r="L298" s="1">
        <v>13</v>
      </c>
      <c r="M298" s="1">
        <v>27</v>
      </c>
      <c r="O298" s="61" t="str">
        <f t="shared" si="22"/>
        <v>3 דירת 3 חדרי</v>
      </c>
      <c r="U298" s="1" t="str">
        <f t="shared" si="23"/>
        <v>3 דירת 3 חדרים 2,051,282 27 80</v>
      </c>
    </row>
    <row r="299" spans="1:21" hidden="1" x14ac:dyDescent="0.25">
      <c r="A299" s="1" t="s">
        <v>21</v>
      </c>
      <c r="C299" s="1" t="str">
        <f t="shared" si="17"/>
        <v xml:space="preserve">₪ 25,581 </v>
      </c>
      <c r="E299" s="1" t="str">
        <f t="shared" si="18"/>
        <v>₪ 25,581 ₪ 3,740,000</v>
      </c>
      <c r="F299" s="1" t="str">
        <f t="shared" si="19"/>
        <v>3,740,000</v>
      </c>
      <c r="G299" s="1">
        <f t="shared" si="20"/>
        <v>3196581.196581197</v>
      </c>
      <c r="J299" s="1" t="e">
        <f t="shared" si="21"/>
        <v>#VALUE!</v>
      </c>
      <c r="L299" s="1">
        <v>14</v>
      </c>
      <c r="M299" s="1">
        <v>27</v>
      </c>
      <c r="O299" s="61" t="str">
        <f t="shared" si="22"/>
        <v xml:space="preserve"> דירת 5 חדרים</v>
      </c>
      <c r="U299" s="1" t="str">
        <f t="shared" si="23"/>
        <v xml:space="preserve"> דירת 5 חדרים 3,196,581 27 133</v>
      </c>
    </row>
    <row r="300" spans="1:21" hidden="1" x14ac:dyDescent="0.25">
      <c r="A300" s="1" t="s">
        <v>22</v>
      </c>
      <c r="C300" s="1" t="str">
        <f t="shared" si="17"/>
        <v xml:space="preserve">₪ 25,575 </v>
      </c>
      <c r="E300" s="1" t="str">
        <f t="shared" si="18"/>
        <v>₪ 25,575 ₪ 3,670,000</v>
      </c>
      <c r="F300" s="1" t="str">
        <f t="shared" si="19"/>
        <v>3,670,000</v>
      </c>
      <c r="G300" s="1">
        <f t="shared" si="20"/>
        <v>3136752.136752137</v>
      </c>
      <c r="J300" s="1" t="e">
        <f t="shared" si="21"/>
        <v>#VALUE!</v>
      </c>
      <c r="L300" s="1">
        <v>15</v>
      </c>
      <c r="M300" s="1">
        <v>27</v>
      </c>
      <c r="O300" s="61" t="str">
        <f t="shared" si="22"/>
        <v xml:space="preserve"> דירת 5 חדרים</v>
      </c>
      <c r="U300" s="1" t="str">
        <f t="shared" si="23"/>
        <v xml:space="preserve"> דירת 5 חדרים 3,136,752 27 130</v>
      </c>
    </row>
    <row r="301" spans="1:21" hidden="1" x14ac:dyDescent="0.25">
      <c r="A301" s="1" t="s">
        <v>23</v>
      </c>
      <c r="C301" s="1" t="str">
        <f t="shared" si="17"/>
        <v xml:space="preserve">₪ 25,882 </v>
      </c>
      <c r="E301" s="1" t="str">
        <f t="shared" si="18"/>
        <v>₪ 25,882 ₪ 2,420,000</v>
      </c>
      <c r="F301" s="1" t="str">
        <f t="shared" si="19"/>
        <v>2,420,000</v>
      </c>
      <c r="G301" s="1">
        <f t="shared" si="20"/>
        <v>2068376.0683760685</v>
      </c>
      <c r="J301" s="1" t="e">
        <f t="shared" si="21"/>
        <v>#VALUE!</v>
      </c>
      <c r="L301" s="1">
        <v>16</v>
      </c>
      <c r="M301" s="1">
        <v>27</v>
      </c>
      <c r="O301" s="61" t="str">
        <f t="shared" si="22"/>
        <v>6 דירת 3 חדרי</v>
      </c>
      <c r="U301" s="1" t="str">
        <f t="shared" si="23"/>
        <v>6 דירת 3 חדרים 2,068,376 27 80</v>
      </c>
    </row>
    <row r="302" spans="1:21" hidden="1" x14ac:dyDescent="0.25">
      <c r="A302" s="1" t="s">
        <v>24</v>
      </c>
      <c r="C302" s="1" t="str">
        <f t="shared" si="17"/>
        <v xml:space="preserve">₪ 25,718 </v>
      </c>
      <c r="E302" s="1" t="str">
        <f t="shared" si="18"/>
        <v>₪ 25,718 ₪ 3,760,000</v>
      </c>
      <c r="F302" s="1" t="str">
        <f t="shared" si="19"/>
        <v>3,760,000</v>
      </c>
      <c r="G302" s="1">
        <f t="shared" si="20"/>
        <v>3213675.213675214</v>
      </c>
      <c r="J302" s="1" t="e">
        <f t="shared" si="21"/>
        <v>#VALUE!</v>
      </c>
      <c r="L302" s="1">
        <v>17</v>
      </c>
      <c r="M302" s="1">
        <v>27</v>
      </c>
      <c r="O302" s="61" t="str">
        <f t="shared" si="22"/>
        <v xml:space="preserve"> דירת 5 חדרים</v>
      </c>
      <c r="U302" s="1" t="str">
        <f t="shared" si="23"/>
        <v xml:space="preserve"> דירת 5 חדרים 3,213,675 27 133</v>
      </c>
    </row>
    <row r="303" spans="1:21" hidden="1" x14ac:dyDescent="0.25">
      <c r="A303" s="1" t="s">
        <v>25</v>
      </c>
      <c r="C303" s="1" t="str">
        <f t="shared" si="17"/>
        <v xml:space="preserve">₪ 25,714 </v>
      </c>
      <c r="E303" s="1" t="str">
        <f t="shared" si="18"/>
        <v>₪ 25,714 ₪ 3,690,000</v>
      </c>
      <c r="F303" s="1" t="str">
        <f t="shared" si="19"/>
        <v>3,690,000</v>
      </c>
      <c r="G303" s="1">
        <f t="shared" si="20"/>
        <v>3153846.153846154</v>
      </c>
      <c r="J303" s="1" t="e">
        <f t="shared" si="21"/>
        <v>#VALUE!</v>
      </c>
      <c r="L303" s="1">
        <v>18</v>
      </c>
      <c r="M303" s="1">
        <v>27</v>
      </c>
      <c r="O303" s="61" t="str">
        <f t="shared" si="22"/>
        <v xml:space="preserve"> דירת 5 חדרים</v>
      </c>
      <c r="U303" s="1" t="str">
        <f t="shared" si="23"/>
        <v xml:space="preserve"> דירת 5 חדרים 3,153,846 27 130</v>
      </c>
    </row>
    <row r="304" spans="1:21" hidden="1" x14ac:dyDescent="0.25">
      <c r="A304" s="1" t="s">
        <v>26</v>
      </c>
      <c r="C304" s="1" t="str">
        <f t="shared" si="17"/>
        <v xml:space="preserve">₪ 25,796 </v>
      </c>
      <c r="E304" s="1" t="str">
        <f t="shared" si="18"/>
        <v>₪ 25,796 ₪ 3,160,000</v>
      </c>
      <c r="F304" s="1" t="str">
        <f t="shared" si="19"/>
        <v>3,160,000</v>
      </c>
      <c r="G304" s="1">
        <f t="shared" si="20"/>
        <v>2700854.700854701</v>
      </c>
      <c r="J304" s="1" t="e">
        <f t="shared" si="21"/>
        <v>#VALUE!</v>
      </c>
      <c r="L304" s="1">
        <v>19</v>
      </c>
      <c r="M304" s="1">
        <v>27</v>
      </c>
      <c r="O304" s="61" t="str">
        <f t="shared" si="22"/>
        <v xml:space="preserve"> דירת 5 חדרים</v>
      </c>
      <c r="U304" s="1" t="str">
        <f t="shared" si="23"/>
        <v xml:space="preserve"> דירת 5 חדרים 2,700,855 27 109</v>
      </c>
    </row>
    <row r="305" spans="1:21" hidden="1" x14ac:dyDescent="0.25">
      <c r="A305" s="1" t="s">
        <v>27</v>
      </c>
      <c r="C305" s="1" t="str">
        <f t="shared" si="17"/>
        <v xml:space="preserve">₪ 25,855 </v>
      </c>
      <c r="E305" s="1" t="str">
        <f t="shared" si="18"/>
        <v>₪ 25,855 ₪ 3,780,000</v>
      </c>
      <c r="F305" s="1" t="str">
        <f t="shared" si="19"/>
        <v>3,780,000</v>
      </c>
      <c r="G305" s="1">
        <f t="shared" si="20"/>
        <v>3230769.230769231</v>
      </c>
      <c r="J305" s="1" t="e">
        <f t="shared" si="21"/>
        <v>#VALUE!</v>
      </c>
      <c r="L305" s="1">
        <v>20</v>
      </c>
      <c r="M305" s="1">
        <v>27</v>
      </c>
      <c r="O305" s="61" t="str">
        <f t="shared" si="22"/>
        <v xml:space="preserve"> דירת 5 חדרים</v>
      </c>
      <c r="U305" s="1" t="str">
        <f t="shared" si="23"/>
        <v xml:space="preserve"> דירת 5 חדרים 3,230,769 27 133</v>
      </c>
    </row>
    <row r="306" spans="1:21" hidden="1" x14ac:dyDescent="0.25">
      <c r="A306" s="1" t="s">
        <v>28</v>
      </c>
      <c r="C306" s="1" t="str">
        <f t="shared" si="17"/>
        <v xml:space="preserve">₪ 25,854 </v>
      </c>
      <c r="E306" s="1" t="str">
        <f t="shared" si="18"/>
        <v>₪ 25,854 ₪ 3,710,000</v>
      </c>
      <c r="F306" s="1" t="str">
        <f t="shared" si="19"/>
        <v>3,710,000</v>
      </c>
      <c r="G306" s="1">
        <f t="shared" si="20"/>
        <v>3170940.170940171</v>
      </c>
      <c r="J306" s="1" t="e">
        <f t="shared" si="21"/>
        <v>#VALUE!</v>
      </c>
      <c r="L306" s="1">
        <v>21</v>
      </c>
      <c r="M306" s="1">
        <v>27</v>
      </c>
      <c r="O306" s="61" t="str">
        <f t="shared" si="22"/>
        <v xml:space="preserve"> דירת 5 חדרים</v>
      </c>
      <c r="U306" s="1" t="str">
        <f t="shared" si="23"/>
        <v xml:space="preserve"> דירת 5 חדרים 3,170,940 27 130</v>
      </c>
    </row>
    <row r="307" spans="1:21" hidden="1" x14ac:dyDescent="0.25">
      <c r="A307" s="1" t="s">
        <v>29</v>
      </c>
      <c r="C307" s="1" t="str">
        <f t="shared" si="17"/>
        <v xml:space="preserve">₪ 25,959 </v>
      </c>
      <c r="E307" s="1" t="str">
        <f t="shared" si="18"/>
        <v>₪ 25,959 ₪ 3,180,000</v>
      </c>
      <c r="F307" s="1" t="str">
        <f t="shared" si="19"/>
        <v>3,180,000</v>
      </c>
      <c r="G307" s="1">
        <f t="shared" si="20"/>
        <v>2717948.717948718</v>
      </c>
      <c r="J307" s="1" t="e">
        <f t="shared" si="21"/>
        <v>#VALUE!</v>
      </c>
      <c r="L307" s="1">
        <v>22</v>
      </c>
      <c r="M307" s="1">
        <v>27</v>
      </c>
      <c r="O307" s="61" t="str">
        <f t="shared" si="22"/>
        <v xml:space="preserve"> דירת 5 חדרים</v>
      </c>
      <c r="U307" s="1" t="str">
        <f t="shared" si="23"/>
        <v xml:space="preserve"> דירת 5 חדרים 2,717,949 27 109</v>
      </c>
    </row>
    <row r="308" spans="1:21" hidden="1" x14ac:dyDescent="0.25">
      <c r="A308" s="1" t="s">
        <v>30</v>
      </c>
      <c r="C308" s="1" t="str">
        <f t="shared" si="17"/>
        <v xml:space="preserve">₪ 27,895 </v>
      </c>
      <c r="E308" s="1" t="str">
        <f t="shared" si="18"/>
        <v>₪ 27,895 ₪ 4,240,000</v>
      </c>
      <c r="F308" s="1" t="str">
        <f t="shared" si="19"/>
        <v>4,240,000</v>
      </c>
      <c r="G308" s="1">
        <f t="shared" si="20"/>
        <v>3623931.623931624</v>
      </c>
      <c r="J308" s="1" t="e">
        <f t="shared" ref="J308:J311" si="24">F308/C308</f>
        <v>#VALUE!</v>
      </c>
      <c r="L308" s="1">
        <v>23</v>
      </c>
      <c r="N308" s="1">
        <v>40</v>
      </c>
      <c r="O308" s="61" t="str">
        <f t="shared" si="22"/>
        <v>טהאוז 6 חדרים</v>
      </c>
      <c r="U308" s="1" t="str">
        <f t="shared" si="23"/>
        <v>טהאוז 6 חדרים 3,623,932 40 152</v>
      </c>
    </row>
    <row r="309" spans="1:21" hidden="1" x14ac:dyDescent="0.25">
      <c r="A309" s="1" t="s">
        <v>31</v>
      </c>
      <c r="C309" s="1" t="str">
        <f t="shared" si="17"/>
        <v xml:space="preserve">₪ 27,895 </v>
      </c>
      <c r="E309" s="1" t="str">
        <f t="shared" si="18"/>
        <v>₪ 27,895 ₪ 4,240,000</v>
      </c>
      <c r="F309" s="1" t="str">
        <f t="shared" si="19"/>
        <v>4,240,000</v>
      </c>
      <c r="G309" s="1">
        <f t="shared" si="20"/>
        <v>3623931.623931624</v>
      </c>
      <c r="J309" s="1" t="e">
        <f t="shared" si="24"/>
        <v>#VALUE!</v>
      </c>
      <c r="L309" s="1">
        <v>24</v>
      </c>
      <c r="N309" s="1">
        <v>40</v>
      </c>
      <c r="O309" s="61" t="str">
        <f t="shared" si="22"/>
        <v>טהאוז 6 חדרים</v>
      </c>
      <c r="U309" s="1" t="str">
        <f t="shared" si="23"/>
        <v>טהאוז 6 חדרים 3,623,932 40 152</v>
      </c>
    </row>
    <row r="310" spans="1:21" hidden="1" x14ac:dyDescent="0.25">
      <c r="A310" s="1" t="s">
        <v>32</v>
      </c>
      <c r="C310" s="1" t="str">
        <f t="shared" si="17"/>
        <v xml:space="preserve">₪ 27,861 </v>
      </c>
      <c r="E310" s="1" t="str">
        <f t="shared" si="18"/>
        <v>₪ 27,861 ₪ 5,210,000</v>
      </c>
      <c r="F310" s="1" t="str">
        <f t="shared" si="19"/>
        <v>5,210,000</v>
      </c>
      <c r="G310" s="1">
        <f t="shared" si="20"/>
        <v>4452991.452991453</v>
      </c>
      <c r="J310" s="1" t="e">
        <f t="shared" si="24"/>
        <v>#VALUE!</v>
      </c>
      <c r="L310" s="1">
        <v>25</v>
      </c>
      <c r="N310" s="1">
        <v>70</v>
      </c>
      <c r="O310" s="61" t="str">
        <f t="shared" si="22"/>
        <v>ופלקס 5 חדרים</v>
      </c>
      <c r="U310" s="1" t="str">
        <f t="shared" si="23"/>
        <v>ופלקס 5 חדרים 4,452,991 70 187</v>
      </c>
    </row>
    <row r="311" spans="1:21" hidden="1" x14ac:dyDescent="0.25">
      <c r="A311" s="1" t="s">
        <v>33</v>
      </c>
      <c r="C311" s="1" t="str">
        <f t="shared" si="17"/>
        <v xml:space="preserve">₪ 27,861 </v>
      </c>
      <c r="E311" s="1" t="str">
        <f t="shared" si="18"/>
        <v>₪ 27,861 ₪ 5,210,000</v>
      </c>
      <c r="F311" s="1" t="str">
        <f t="shared" si="19"/>
        <v>5,210,000</v>
      </c>
      <c r="G311" s="1">
        <f t="shared" si="20"/>
        <v>4452991.452991453</v>
      </c>
      <c r="J311" s="1" t="e">
        <f t="shared" si="24"/>
        <v>#VALUE!</v>
      </c>
      <c r="L311" s="1">
        <v>26</v>
      </c>
      <c r="N311" s="1">
        <v>70</v>
      </c>
      <c r="O311" s="61" t="str">
        <f t="shared" si="22"/>
        <v>ופלקס 5 חדרים</v>
      </c>
      <c r="U311" s="1" t="str">
        <f t="shared" si="23"/>
        <v>ופלקס 5 חדרים 4,452,991 70 187</v>
      </c>
    </row>
    <row r="312" spans="1:21" hidden="1" x14ac:dyDescent="0.25"/>
    <row r="313" spans="1:21" hidden="1" x14ac:dyDescent="0.25"/>
    <row r="314" spans="1:21" hidden="1" x14ac:dyDescent="0.25"/>
    <row r="315" spans="1:21" ht="13" hidden="1" x14ac:dyDescent="0.3">
      <c r="A315" s="63" t="s">
        <v>59</v>
      </c>
    </row>
    <row r="316" spans="1:21" hidden="1" x14ac:dyDescent="0.25"/>
    <row r="317" spans="1:21" hidden="1" x14ac:dyDescent="0.25"/>
    <row r="318" spans="1:21" hidden="1" x14ac:dyDescent="0.25">
      <c r="A318" s="1" t="s">
        <v>38</v>
      </c>
      <c r="C318" s="1" t="str">
        <f>LEFT(A318,9)</f>
        <v xml:space="preserve">₪ 30,721 </v>
      </c>
      <c r="E318" s="1" t="str">
        <f t="shared" ref="E318:E342" si="25">LEFT(A318,20)</f>
        <v>₪ 30,721 ₪ 3,920,000</v>
      </c>
      <c r="F318" s="1" t="str">
        <f t="shared" ref="F318:F342" si="26">RIGHT(E318,9)</f>
        <v>3,920,000</v>
      </c>
      <c r="G318" s="1">
        <f>F318/1.17</f>
        <v>3350427.3504273505</v>
      </c>
      <c r="J318" s="1" t="e">
        <f>F318/C318</f>
        <v>#VALUE!</v>
      </c>
      <c r="L318" s="1">
        <v>1</v>
      </c>
      <c r="N318" s="1">
        <v>100</v>
      </c>
      <c r="O318" s="61" t="str">
        <f>LEFT(U318,20)</f>
        <v>דירת גן 5 חדרים קרקע</v>
      </c>
      <c r="U318" s="1" t="str">
        <f>RIGHT(A318,38)</f>
        <v>דירת גן 5 חדרים קרקע 3,350,427 100 128</v>
      </c>
    </row>
    <row r="319" spans="1:21" hidden="1" x14ac:dyDescent="0.25">
      <c r="A319" s="1" t="s">
        <v>39</v>
      </c>
      <c r="C319" s="1" t="str">
        <f t="shared" ref="C319:C342" si="27">LEFT(A319,9)</f>
        <v xml:space="preserve">₪ 25,018 </v>
      </c>
      <c r="E319" s="1" t="str">
        <f t="shared" si="25"/>
        <v>₪ 25,018 ₪ 3,530,000</v>
      </c>
      <c r="F319" s="1" t="str">
        <f t="shared" si="26"/>
        <v>3,530,000</v>
      </c>
      <c r="G319" s="1">
        <f t="shared" ref="G319:G342" si="28">F319/1.17</f>
        <v>3017094.0170940175</v>
      </c>
      <c r="J319" s="1" t="e">
        <f>F319/C319-13</f>
        <v>#VALUE!</v>
      </c>
      <c r="L319" s="1">
        <v>2</v>
      </c>
      <c r="M319" s="1">
        <v>27</v>
      </c>
      <c r="O319" s="61" t="str">
        <f>LEFT(U319,13)</f>
        <v xml:space="preserve"> דירת 5 חדרים</v>
      </c>
      <c r="U319" s="1" t="str">
        <f>RIGHT(A319,30)</f>
        <v xml:space="preserve"> דירת 5 חדרים 3,017,094 27 128</v>
      </c>
    </row>
    <row r="320" spans="1:21" hidden="1" x14ac:dyDescent="0.25">
      <c r="A320" s="1" t="s">
        <v>40</v>
      </c>
      <c r="C320" s="1" t="str">
        <f t="shared" si="27"/>
        <v xml:space="preserve">₪ 25,018 </v>
      </c>
      <c r="E320" s="1" t="str">
        <f t="shared" si="25"/>
        <v>₪ 25,018 ₪ 3,530,000</v>
      </c>
      <c r="F320" s="1" t="str">
        <f t="shared" si="26"/>
        <v>3,530,000</v>
      </c>
      <c r="G320" s="1">
        <f t="shared" si="28"/>
        <v>3017094.0170940175</v>
      </c>
      <c r="J320" s="1" t="e">
        <f t="shared" ref="J320:J339" si="29">F320/C320-13</f>
        <v>#VALUE!</v>
      </c>
      <c r="L320" s="1">
        <v>3</v>
      </c>
      <c r="M320" s="1">
        <v>27</v>
      </c>
      <c r="O320" s="61" t="str">
        <f t="shared" ref="O320:O342" si="30">LEFT(U320,13)</f>
        <v xml:space="preserve"> דירת 5 חדרים</v>
      </c>
      <c r="U320" s="1" t="str">
        <f t="shared" ref="U320:U342" si="31">RIGHT(A320,30)</f>
        <v xml:space="preserve"> דירת 5 חדרים 3,017,094 27 128</v>
      </c>
    </row>
    <row r="321" spans="1:21" hidden="1" x14ac:dyDescent="0.25">
      <c r="A321" s="1" t="s">
        <v>11</v>
      </c>
      <c r="C321" s="1" t="str">
        <f t="shared" si="27"/>
        <v xml:space="preserve">₪ 25,027 </v>
      </c>
      <c r="E321" s="1" t="str">
        <f t="shared" si="25"/>
        <v>₪ 25,027 ₪ 2,340,000</v>
      </c>
      <c r="F321" s="1" t="str">
        <f t="shared" si="26"/>
        <v>2,340,000</v>
      </c>
      <c r="G321" s="1">
        <f t="shared" si="28"/>
        <v>2000000.0000000002</v>
      </c>
      <c r="J321" s="1" t="e">
        <f t="shared" si="29"/>
        <v>#VALUE!</v>
      </c>
      <c r="L321" s="1">
        <v>4</v>
      </c>
      <c r="M321" s="1">
        <v>27</v>
      </c>
      <c r="O321" s="61" t="str">
        <f t="shared" si="30"/>
        <v>4 דירת 3 חדרי</v>
      </c>
      <c r="U321" s="1" t="str">
        <f t="shared" si="31"/>
        <v>4 דירת 3 חדרים 2,000,000 27 80</v>
      </c>
    </row>
    <row r="322" spans="1:21" hidden="1" x14ac:dyDescent="0.25">
      <c r="A322" s="1" t="s">
        <v>41</v>
      </c>
      <c r="C322" s="1" t="str">
        <f t="shared" si="27"/>
        <v xml:space="preserve">₪ 25,159 </v>
      </c>
      <c r="E322" s="1" t="str">
        <f t="shared" si="25"/>
        <v>₪ 25,159 ₪ 3,550,000</v>
      </c>
      <c r="F322" s="1" t="str">
        <f t="shared" si="26"/>
        <v>3,550,000</v>
      </c>
      <c r="G322" s="1">
        <f t="shared" si="28"/>
        <v>3034188.0341880345</v>
      </c>
      <c r="J322" s="1" t="e">
        <f t="shared" si="29"/>
        <v>#VALUE!</v>
      </c>
      <c r="L322" s="1">
        <v>5</v>
      </c>
      <c r="M322" s="1">
        <v>27</v>
      </c>
      <c r="O322" s="61" t="str">
        <f t="shared" si="30"/>
        <v xml:space="preserve"> דירת 5 חדרים</v>
      </c>
      <c r="U322" s="1" t="str">
        <f t="shared" si="31"/>
        <v xml:space="preserve"> דירת 5 חדרים 3,034,188 27 128</v>
      </c>
    </row>
    <row r="323" spans="1:21" hidden="1" x14ac:dyDescent="0.25">
      <c r="A323" s="1" t="s">
        <v>42</v>
      </c>
      <c r="C323" s="1" t="str">
        <f t="shared" si="27"/>
        <v xml:space="preserve">₪ 25,159 </v>
      </c>
      <c r="E323" s="1" t="str">
        <f t="shared" si="25"/>
        <v>₪ 25,159 ₪ 3,550,000</v>
      </c>
      <c r="F323" s="1" t="str">
        <f t="shared" si="26"/>
        <v>3,550,000</v>
      </c>
      <c r="G323" s="1">
        <f t="shared" si="28"/>
        <v>3034188.0341880345</v>
      </c>
      <c r="J323" s="1" t="e">
        <f t="shared" si="29"/>
        <v>#VALUE!</v>
      </c>
      <c r="L323" s="1">
        <v>6</v>
      </c>
      <c r="M323" s="1">
        <v>27</v>
      </c>
      <c r="O323" s="61" t="str">
        <f t="shared" si="30"/>
        <v xml:space="preserve"> דירת 5 חדרים</v>
      </c>
      <c r="U323" s="1" t="str">
        <f t="shared" si="31"/>
        <v xml:space="preserve"> דירת 5 חדרים 3,034,188 27 128</v>
      </c>
    </row>
    <row r="324" spans="1:21" hidden="1" x14ac:dyDescent="0.25">
      <c r="A324" s="1" t="s">
        <v>14</v>
      </c>
      <c r="C324" s="1" t="str">
        <f t="shared" si="27"/>
        <v xml:space="preserve">₪ 25,241 </v>
      </c>
      <c r="E324" s="1" t="str">
        <f t="shared" si="25"/>
        <v>₪ 25,241 ₪ 2,360,000</v>
      </c>
      <c r="F324" s="1" t="str">
        <f t="shared" si="26"/>
        <v>2,360,000</v>
      </c>
      <c r="G324" s="1">
        <f t="shared" si="28"/>
        <v>2017094.0170940172</v>
      </c>
      <c r="J324" s="1" t="e">
        <f t="shared" si="29"/>
        <v>#VALUE!</v>
      </c>
      <c r="L324" s="1">
        <v>7</v>
      </c>
      <c r="M324" s="1">
        <v>27</v>
      </c>
      <c r="O324" s="61" t="str">
        <f t="shared" si="30"/>
        <v>7 דירת 3 חדרי</v>
      </c>
      <c r="U324" s="1" t="str">
        <f t="shared" si="31"/>
        <v>7 דירת 3 חדרים 2,017,094 27 80</v>
      </c>
    </row>
    <row r="325" spans="1:21" hidden="1" x14ac:dyDescent="0.25">
      <c r="A325" s="1" t="s">
        <v>43</v>
      </c>
      <c r="C325" s="1" t="str">
        <f t="shared" si="27"/>
        <v xml:space="preserve">₪ 25,301 </v>
      </c>
      <c r="E325" s="1" t="str">
        <f t="shared" si="25"/>
        <v>₪ 25,301 ₪ 3,570,000</v>
      </c>
      <c r="F325" s="1" t="str">
        <f t="shared" si="26"/>
        <v>3,570,000</v>
      </c>
      <c r="G325" s="1">
        <f t="shared" si="28"/>
        <v>3051282.0512820515</v>
      </c>
      <c r="J325" s="1" t="e">
        <f t="shared" si="29"/>
        <v>#VALUE!</v>
      </c>
      <c r="L325" s="1">
        <v>8</v>
      </c>
      <c r="M325" s="1">
        <v>27</v>
      </c>
      <c r="O325" s="61" t="str">
        <f t="shared" si="30"/>
        <v xml:space="preserve"> דירת 5 חדרים</v>
      </c>
      <c r="U325" s="1" t="str">
        <f t="shared" si="31"/>
        <v xml:space="preserve"> דירת 5 חדרים 3,051,282 27 128</v>
      </c>
    </row>
    <row r="326" spans="1:21" hidden="1" x14ac:dyDescent="0.25">
      <c r="A326" s="1" t="s">
        <v>44</v>
      </c>
      <c r="C326" s="1" t="str">
        <f t="shared" si="27"/>
        <v xml:space="preserve">₪ 25,301 </v>
      </c>
      <c r="E326" s="1" t="str">
        <f t="shared" si="25"/>
        <v>₪ 25,301 ₪ 3,570,000</v>
      </c>
      <c r="F326" s="1" t="str">
        <f t="shared" si="26"/>
        <v>3,570,000</v>
      </c>
      <c r="G326" s="1">
        <f t="shared" si="28"/>
        <v>3051282.0512820515</v>
      </c>
      <c r="J326" s="1" t="e">
        <f t="shared" si="29"/>
        <v>#VALUE!</v>
      </c>
      <c r="L326" s="1">
        <v>9</v>
      </c>
      <c r="M326" s="1">
        <v>27</v>
      </c>
      <c r="O326" s="61" t="str">
        <f t="shared" si="30"/>
        <v xml:space="preserve"> דירת 5 חדרים</v>
      </c>
      <c r="U326" s="1" t="str">
        <f t="shared" si="31"/>
        <v xml:space="preserve"> דירת 5 חדרים 3,051,282 27 128</v>
      </c>
    </row>
    <row r="327" spans="1:21" hidden="1" x14ac:dyDescent="0.25">
      <c r="A327" s="1" t="s">
        <v>17</v>
      </c>
      <c r="C327" s="1" t="str">
        <f t="shared" si="27"/>
        <v xml:space="preserve">₪ 25,455 </v>
      </c>
      <c r="E327" s="1" t="str">
        <f t="shared" si="25"/>
        <v>₪ 25,455 ₪ 2,380,000</v>
      </c>
      <c r="F327" s="1" t="str">
        <f t="shared" si="26"/>
        <v>2,380,000</v>
      </c>
      <c r="G327" s="1">
        <f t="shared" si="28"/>
        <v>2034188.0341880342</v>
      </c>
      <c r="J327" s="1" t="e">
        <f t="shared" si="29"/>
        <v>#VALUE!</v>
      </c>
      <c r="L327" s="1">
        <v>10</v>
      </c>
      <c r="M327" s="1">
        <v>27</v>
      </c>
      <c r="O327" s="61" t="str">
        <f t="shared" si="30"/>
        <v>0 דירת 3 חדרי</v>
      </c>
      <c r="U327" s="1" t="str">
        <f t="shared" si="31"/>
        <v>0 דירת 3 חדרים 2,034,188 27 80</v>
      </c>
    </row>
    <row r="328" spans="1:21" hidden="1" x14ac:dyDescent="0.25">
      <c r="A328" s="1" t="s">
        <v>45</v>
      </c>
      <c r="C328" s="1" t="str">
        <f t="shared" si="27"/>
        <v xml:space="preserve">₪ 25,443 </v>
      </c>
      <c r="E328" s="1" t="str">
        <f t="shared" si="25"/>
        <v>₪ 25,443 ₪ 3,590,000</v>
      </c>
      <c r="F328" s="1" t="str">
        <f t="shared" si="26"/>
        <v>3,590,000</v>
      </c>
      <c r="G328" s="1">
        <f t="shared" si="28"/>
        <v>3068376.0683760685</v>
      </c>
      <c r="J328" s="1" t="e">
        <f t="shared" si="29"/>
        <v>#VALUE!</v>
      </c>
      <c r="L328" s="1">
        <v>11</v>
      </c>
      <c r="M328" s="1">
        <v>27</v>
      </c>
      <c r="O328" s="61" t="str">
        <f t="shared" si="30"/>
        <v xml:space="preserve"> דירת 5 חדרים</v>
      </c>
      <c r="U328" s="1" t="str">
        <f t="shared" si="31"/>
        <v xml:space="preserve"> דירת 5 חדרים 3,068,376 27 128</v>
      </c>
    </row>
    <row r="329" spans="1:21" hidden="1" x14ac:dyDescent="0.25">
      <c r="A329" s="1" t="s">
        <v>46</v>
      </c>
      <c r="C329" s="1" t="str">
        <f t="shared" si="27"/>
        <v xml:space="preserve">₪ 25,443 </v>
      </c>
      <c r="E329" s="1" t="str">
        <f t="shared" si="25"/>
        <v>₪ 25,443 ₪ 3,590,000</v>
      </c>
      <c r="F329" s="1" t="str">
        <f t="shared" si="26"/>
        <v>3,590,000</v>
      </c>
      <c r="G329" s="1">
        <f t="shared" si="28"/>
        <v>3068376.0683760685</v>
      </c>
      <c r="J329" s="1" t="e">
        <f t="shared" si="29"/>
        <v>#VALUE!</v>
      </c>
      <c r="L329" s="1">
        <v>12</v>
      </c>
      <c r="M329" s="1">
        <v>27</v>
      </c>
      <c r="O329" s="61" t="str">
        <f t="shared" si="30"/>
        <v xml:space="preserve"> דירת 5 חדרים</v>
      </c>
      <c r="U329" s="1" t="str">
        <f t="shared" si="31"/>
        <v xml:space="preserve"> דירת 5 חדרים 3,068,376 27 128</v>
      </c>
    </row>
    <row r="330" spans="1:21" hidden="1" x14ac:dyDescent="0.25">
      <c r="A330" s="1" t="s">
        <v>20</v>
      </c>
      <c r="C330" s="1" t="str">
        <f t="shared" si="27"/>
        <v xml:space="preserve">₪ 25,668 </v>
      </c>
      <c r="E330" s="1" t="str">
        <f t="shared" si="25"/>
        <v>₪ 25,668 ₪ 2,400,000</v>
      </c>
      <c r="F330" s="1" t="str">
        <f t="shared" si="26"/>
        <v>2,400,000</v>
      </c>
      <c r="G330" s="1">
        <f t="shared" si="28"/>
        <v>2051282.0512820515</v>
      </c>
      <c r="J330" s="1" t="e">
        <f t="shared" si="29"/>
        <v>#VALUE!</v>
      </c>
      <c r="L330" s="1">
        <v>13</v>
      </c>
      <c r="M330" s="1">
        <v>27</v>
      </c>
      <c r="O330" s="61" t="str">
        <f t="shared" si="30"/>
        <v>3 דירת 3 חדרי</v>
      </c>
      <c r="U330" s="1" t="str">
        <f t="shared" si="31"/>
        <v>3 דירת 3 חדרים 2,051,282 27 80</v>
      </c>
    </row>
    <row r="331" spans="1:21" hidden="1" x14ac:dyDescent="0.25">
      <c r="A331" s="1" t="s">
        <v>47</v>
      </c>
      <c r="C331" s="1" t="str">
        <f t="shared" si="27"/>
        <v xml:space="preserve">₪ 25,585 </v>
      </c>
      <c r="E331" s="1" t="str">
        <f t="shared" si="25"/>
        <v>₪ 25,585 ₪ 3,610,000</v>
      </c>
      <c r="F331" s="1" t="str">
        <f t="shared" si="26"/>
        <v>3,610,000</v>
      </c>
      <c r="G331" s="1">
        <f t="shared" si="28"/>
        <v>3085470.0854700855</v>
      </c>
      <c r="J331" s="1" t="e">
        <f t="shared" si="29"/>
        <v>#VALUE!</v>
      </c>
      <c r="L331" s="1">
        <v>14</v>
      </c>
      <c r="M331" s="1">
        <v>27</v>
      </c>
      <c r="O331" s="61" t="str">
        <f t="shared" si="30"/>
        <v xml:space="preserve"> דירת 5 חדרים</v>
      </c>
      <c r="U331" s="1" t="str">
        <f t="shared" si="31"/>
        <v xml:space="preserve"> דירת 5 חדרים 3,085,470 27 128</v>
      </c>
    </row>
    <row r="332" spans="1:21" hidden="1" x14ac:dyDescent="0.25">
      <c r="A332" s="1" t="s">
        <v>48</v>
      </c>
      <c r="C332" s="1" t="str">
        <f t="shared" si="27"/>
        <v xml:space="preserve">₪ 25,585 </v>
      </c>
      <c r="E332" s="1" t="str">
        <f t="shared" si="25"/>
        <v>₪ 25,585 ₪ 3,610,000</v>
      </c>
      <c r="F332" s="1" t="str">
        <f t="shared" si="26"/>
        <v>3,610,000</v>
      </c>
      <c r="G332" s="1">
        <f t="shared" si="28"/>
        <v>3085470.0854700855</v>
      </c>
      <c r="J332" s="1" t="e">
        <f t="shared" si="29"/>
        <v>#VALUE!</v>
      </c>
      <c r="L332" s="1">
        <v>15</v>
      </c>
      <c r="M332" s="1">
        <v>27</v>
      </c>
      <c r="O332" s="61" t="str">
        <f t="shared" si="30"/>
        <v xml:space="preserve"> דירת 5 חדרים</v>
      </c>
      <c r="U332" s="1" t="str">
        <f t="shared" si="31"/>
        <v xml:space="preserve"> דירת 5 חדרים 3,085,470 27 128</v>
      </c>
    </row>
    <row r="333" spans="1:21" hidden="1" x14ac:dyDescent="0.25">
      <c r="A333" s="1" t="s">
        <v>23</v>
      </c>
      <c r="C333" s="1" t="str">
        <f t="shared" si="27"/>
        <v xml:space="preserve">₪ 25,882 </v>
      </c>
      <c r="E333" s="1" t="str">
        <f t="shared" si="25"/>
        <v>₪ 25,882 ₪ 2,420,000</v>
      </c>
      <c r="F333" s="1" t="str">
        <f t="shared" si="26"/>
        <v>2,420,000</v>
      </c>
      <c r="G333" s="1">
        <f t="shared" si="28"/>
        <v>2068376.0683760685</v>
      </c>
      <c r="J333" s="1" t="e">
        <f t="shared" si="29"/>
        <v>#VALUE!</v>
      </c>
      <c r="L333" s="1">
        <v>16</v>
      </c>
      <c r="M333" s="1">
        <v>27</v>
      </c>
      <c r="O333" s="61" t="str">
        <f t="shared" si="30"/>
        <v>6 דירת 3 חדרי</v>
      </c>
      <c r="U333" s="1" t="str">
        <f t="shared" si="31"/>
        <v>6 דירת 3 חדרים 2,068,376 27 80</v>
      </c>
    </row>
    <row r="334" spans="1:21" hidden="1" x14ac:dyDescent="0.25">
      <c r="A334" s="1" t="s">
        <v>49</v>
      </c>
      <c r="C334" s="1" t="str">
        <f t="shared" si="27"/>
        <v xml:space="preserve">₪ 25,726 </v>
      </c>
      <c r="E334" s="1" t="str">
        <f t="shared" si="25"/>
        <v>₪ 25,726 ₪ 3,630,000</v>
      </c>
      <c r="F334" s="1" t="str">
        <f t="shared" si="26"/>
        <v>3,630,000</v>
      </c>
      <c r="G334" s="1">
        <f t="shared" si="28"/>
        <v>3102564.102564103</v>
      </c>
      <c r="J334" s="1" t="e">
        <f t="shared" si="29"/>
        <v>#VALUE!</v>
      </c>
      <c r="L334" s="1">
        <v>17</v>
      </c>
      <c r="M334" s="1">
        <v>27</v>
      </c>
      <c r="O334" s="61" t="str">
        <f t="shared" si="30"/>
        <v xml:space="preserve"> דירת 5 חדרים</v>
      </c>
      <c r="U334" s="1" t="str">
        <f t="shared" si="31"/>
        <v xml:space="preserve"> דירת 5 חדרים 3,102,564 27 128</v>
      </c>
    </row>
    <row r="335" spans="1:21" hidden="1" x14ac:dyDescent="0.25">
      <c r="A335" s="1" t="s">
        <v>50</v>
      </c>
      <c r="C335" s="1" t="str">
        <f t="shared" si="27"/>
        <v xml:space="preserve">₪ 25,726 </v>
      </c>
      <c r="E335" s="1" t="str">
        <f t="shared" si="25"/>
        <v>₪ 25,726 ₪ 3,630,000</v>
      </c>
      <c r="F335" s="1" t="str">
        <f t="shared" si="26"/>
        <v>3,630,000</v>
      </c>
      <c r="G335" s="1">
        <f t="shared" si="28"/>
        <v>3102564.102564103</v>
      </c>
      <c r="J335" s="1" t="e">
        <f t="shared" si="29"/>
        <v>#VALUE!</v>
      </c>
      <c r="L335" s="1">
        <v>18</v>
      </c>
      <c r="M335" s="1">
        <v>27</v>
      </c>
      <c r="O335" s="61" t="str">
        <f t="shared" si="30"/>
        <v xml:space="preserve"> דירת 5 חדרים</v>
      </c>
      <c r="U335" s="1" t="str">
        <f t="shared" si="31"/>
        <v xml:space="preserve"> דירת 5 חדרים 3,102,564 27 128</v>
      </c>
    </row>
    <row r="336" spans="1:21" hidden="1" x14ac:dyDescent="0.25">
      <c r="A336" s="1" t="s">
        <v>51</v>
      </c>
      <c r="C336" s="1" t="str">
        <f t="shared" si="27"/>
        <v xml:space="preserve">₪ 26,096 </v>
      </c>
      <c r="E336" s="1" t="str">
        <f t="shared" si="25"/>
        <v>₪ 26,096 ₪ 2,440,000</v>
      </c>
      <c r="F336" s="1" t="str">
        <f t="shared" si="26"/>
        <v>2,440,000</v>
      </c>
      <c r="G336" s="1">
        <f t="shared" si="28"/>
        <v>2085470.0854700855</v>
      </c>
      <c r="J336" s="1" t="e">
        <f t="shared" si="29"/>
        <v>#VALUE!</v>
      </c>
      <c r="L336" s="1">
        <v>19</v>
      </c>
      <c r="M336" s="1">
        <v>27</v>
      </c>
      <c r="O336" s="61" t="str">
        <f t="shared" si="30"/>
        <v>9 דירת 3 חדרי</v>
      </c>
      <c r="U336" s="1" t="str">
        <f t="shared" si="31"/>
        <v>9 דירת 3 חדרים 2,085,470 27 80</v>
      </c>
    </row>
    <row r="337" spans="1:21" hidden="1" x14ac:dyDescent="0.25">
      <c r="A337" s="1" t="s">
        <v>52</v>
      </c>
      <c r="C337" s="1" t="str">
        <f t="shared" si="27"/>
        <v xml:space="preserve">₪ 25,868 </v>
      </c>
      <c r="E337" s="1" t="str">
        <f t="shared" si="25"/>
        <v>₪ 25,868 ₪ 3,650,000</v>
      </c>
      <c r="F337" s="1" t="str">
        <f t="shared" si="26"/>
        <v>3,650,000</v>
      </c>
      <c r="G337" s="1">
        <f t="shared" si="28"/>
        <v>3119658.11965812</v>
      </c>
      <c r="J337" s="1" t="e">
        <f t="shared" si="29"/>
        <v>#VALUE!</v>
      </c>
      <c r="L337" s="1">
        <v>20</v>
      </c>
      <c r="M337" s="1">
        <v>27</v>
      </c>
      <c r="O337" s="61" t="str">
        <f t="shared" si="30"/>
        <v xml:space="preserve"> דירת 5 חדרים</v>
      </c>
      <c r="U337" s="1" t="str">
        <f t="shared" si="31"/>
        <v xml:space="preserve"> דירת 5 חדרים 3,119,658 27 128</v>
      </c>
    </row>
    <row r="338" spans="1:21" hidden="1" x14ac:dyDescent="0.25">
      <c r="A338" s="1" t="s">
        <v>53</v>
      </c>
      <c r="C338" s="1" t="str">
        <f t="shared" si="27"/>
        <v xml:space="preserve">₪ 25,868 </v>
      </c>
      <c r="E338" s="1" t="str">
        <f t="shared" si="25"/>
        <v>₪ 25,868 ₪ 3,650,000</v>
      </c>
      <c r="F338" s="1" t="str">
        <f t="shared" si="26"/>
        <v>3,650,000</v>
      </c>
      <c r="G338" s="1">
        <f t="shared" si="28"/>
        <v>3119658.11965812</v>
      </c>
      <c r="J338" s="1" t="e">
        <f t="shared" si="29"/>
        <v>#VALUE!</v>
      </c>
      <c r="L338" s="1">
        <v>21</v>
      </c>
      <c r="M338" s="1">
        <v>27</v>
      </c>
      <c r="O338" s="61" t="str">
        <f t="shared" si="30"/>
        <v xml:space="preserve"> דירת 5 חדרים</v>
      </c>
      <c r="U338" s="1" t="str">
        <f t="shared" si="31"/>
        <v xml:space="preserve"> דירת 5 חדרים 3,119,658 27 128</v>
      </c>
    </row>
    <row r="339" spans="1:21" hidden="1" x14ac:dyDescent="0.25">
      <c r="A339" s="1" t="s">
        <v>54</v>
      </c>
      <c r="C339" s="1" t="str">
        <f t="shared" si="27"/>
        <v xml:space="preserve">₪ 27,895 </v>
      </c>
      <c r="E339" s="1" t="str">
        <f t="shared" si="25"/>
        <v>₪ 27,895 ₪ 4,240,000</v>
      </c>
      <c r="F339" s="1" t="str">
        <f t="shared" si="26"/>
        <v>4,240,000</v>
      </c>
      <c r="G339" s="1">
        <f t="shared" si="28"/>
        <v>3623931.623931624</v>
      </c>
      <c r="J339" s="1" t="e">
        <f t="shared" si="29"/>
        <v>#VALUE!</v>
      </c>
      <c r="L339" s="1">
        <v>22</v>
      </c>
      <c r="M339" s="1">
        <v>27</v>
      </c>
      <c r="O339" s="61" t="str">
        <f t="shared" si="30"/>
        <v>טהאוז 6 חדרים</v>
      </c>
      <c r="U339" s="1" t="str">
        <f t="shared" si="31"/>
        <v>טהאוז 6 חדרים 3,623,932 40 152</v>
      </c>
    </row>
    <row r="340" spans="1:21" hidden="1" x14ac:dyDescent="0.25">
      <c r="A340" s="1" t="s">
        <v>30</v>
      </c>
      <c r="C340" s="1" t="str">
        <f t="shared" si="27"/>
        <v xml:space="preserve">₪ 27,895 </v>
      </c>
      <c r="E340" s="1" t="str">
        <f t="shared" si="25"/>
        <v>₪ 27,895 ₪ 4,240,000</v>
      </c>
      <c r="F340" s="1" t="str">
        <f t="shared" si="26"/>
        <v>4,240,000</v>
      </c>
      <c r="G340" s="1">
        <f t="shared" si="28"/>
        <v>3623931.623931624</v>
      </c>
      <c r="J340" s="1" t="e">
        <f t="shared" ref="J340:J342" si="32">F340/C340</f>
        <v>#VALUE!</v>
      </c>
      <c r="L340" s="1">
        <v>23</v>
      </c>
      <c r="N340" s="1">
        <v>40</v>
      </c>
      <c r="O340" s="61" t="str">
        <f t="shared" si="30"/>
        <v>טהאוז 6 חדרים</v>
      </c>
      <c r="U340" s="1" t="str">
        <f t="shared" si="31"/>
        <v>טהאוז 6 חדרים 3,623,932 40 152</v>
      </c>
    </row>
    <row r="341" spans="1:21" hidden="1" x14ac:dyDescent="0.25">
      <c r="A341" s="1" t="s">
        <v>55</v>
      </c>
      <c r="C341" s="1" t="str">
        <f t="shared" si="27"/>
        <v xml:space="preserve">₪ 27,861 </v>
      </c>
      <c r="E341" s="1" t="str">
        <f t="shared" si="25"/>
        <v>₪ 27,861 ₪ 5,210,000</v>
      </c>
      <c r="F341" s="1" t="str">
        <f t="shared" si="26"/>
        <v>5,210,000</v>
      </c>
      <c r="G341" s="1">
        <f t="shared" si="28"/>
        <v>4452991.452991453</v>
      </c>
      <c r="J341" s="1" t="e">
        <f t="shared" si="32"/>
        <v>#VALUE!</v>
      </c>
      <c r="L341" s="1">
        <v>24</v>
      </c>
      <c r="N341" s="1">
        <v>40</v>
      </c>
      <c r="O341" s="61" t="str">
        <f t="shared" si="30"/>
        <v>ופלקס 5 חדרים</v>
      </c>
      <c r="U341" s="1" t="str">
        <f t="shared" si="31"/>
        <v>ופלקס 5 חדרים 4,452,991 70 187</v>
      </c>
    </row>
    <row r="342" spans="1:21" hidden="1" x14ac:dyDescent="0.25">
      <c r="A342" s="1" t="s">
        <v>32</v>
      </c>
      <c r="C342" s="1" t="str">
        <f t="shared" si="27"/>
        <v xml:space="preserve">₪ 27,861 </v>
      </c>
      <c r="E342" s="1" t="str">
        <f t="shared" si="25"/>
        <v>₪ 27,861 ₪ 5,210,000</v>
      </c>
      <c r="F342" s="1" t="str">
        <f t="shared" si="26"/>
        <v>5,210,000</v>
      </c>
      <c r="G342" s="1">
        <f t="shared" si="28"/>
        <v>4452991.452991453</v>
      </c>
      <c r="J342" s="1" t="e">
        <f t="shared" si="32"/>
        <v>#VALUE!</v>
      </c>
      <c r="L342" s="1">
        <v>25</v>
      </c>
      <c r="N342" s="1">
        <v>70</v>
      </c>
      <c r="O342" s="61" t="str">
        <f t="shared" si="30"/>
        <v>ופלקס 5 חדרים</v>
      </c>
      <c r="U342" s="1" t="str">
        <f t="shared" si="31"/>
        <v>ופלקס 5 חדרים 4,452,991 70 187</v>
      </c>
    </row>
    <row r="343" spans="1:21" hidden="1" x14ac:dyDescent="0.25">
      <c r="O343" s="61"/>
    </row>
    <row r="344" spans="1:21" ht="13" hidden="1" x14ac:dyDescent="0.3">
      <c r="A344" s="63" t="s">
        <v>58</v>
      </c>
    </row>
    <row r="345" spans="1:21" hidden="1" x14ac:dyDescent="0.25"/>
    <row r="346" spans="1:21" hidden="1" x14ac:dyDescent="0.25">
      <c r="A346" s="1" t="s">
        <v>56</v>
      </c>
      <c r="C346" s="1" t="str">
        <f>LEFT(A346,9)</f>
        <v xml:space="preserve">₪ 30,520 </v>
      </c>
      <c r="E346" s="1" t="str">
        <f t="shared" ref="E346:E371" si="33">LEFT(A346,20)</f>
        <v>₪ 30,520 ₪ 4,050,000</v>
      </c>
      <c r="F346" s="1" t="str">
        <f t="shared" ref="F346:F371" si="34">RIGHT(E346,9)</f>
        <v>4,050,000</v>
      </c>
      <c r="G346" s="1">
        <f>F346/1.17</f>
        <v>3461538.461538462</v>
      </c>
      <c r="J346" s="1" t="e">
        <f>F346/C346</f>
        <v>#VALUE!</v>
      </c>
      <c r="L346" s="1">
        <v>1</v>
      </c>
      <c r="N346" s="1">
        <v>100</v>
      </c>
      <c r="O346" s="61" t="str">
        <f>LEFT(U346,20)</f>
        <v>דירת גן 5 חדרים קרקע</v>
      </c>
      <c r="U346" s="1" t="str">
        <f>RIGHT(A346,38)</f>
        <v>דירת גן 5 חדרים קרקע 3,461,538 100 133</v>
      </c>
    </row>
    <row r="347" spans="1:21" hidden="1" x14ac:dyDescent="0.25">
      <c r="A347" s="1" t="s">
        <v>9</v>
      </c>
      <c r="C347" s="1" t="str">
        <f t="shared" ref="C347:C371" si="35">LEFT(A347,9)</f>
        <v xml:space="preserve">₪ 25,034 </v>
      </c>
      <c r="E347" s="1" t="str">
        <f t="shared" si="33"/>
        <v>₪ 25,034 ₪ 3,660,000</v>
      </c>
      <c r="F347" s="1" t="str">
        <f t="shared" si="34"/>
        <v>3,660,000</v>
      </c>
      <c r="G347" s="1">
        <f t="shared" ref="G347:G371" si="36">F347/1.17</f>
        <v>3128205.1282051285</v>
      </c>
      <c r="J347" s="1" t="e">
        <f>F347/C347-13</f>
        <v>#VALUE!</v>
      </c>
      <c r="L347" s="1">
        <v>2</v>
      </c>
      <c r="M347" s="1">
        <v>27</v>
      </c>
      <c r="O347" s="61" t="str">
        <f>LEFT(U347,13)</f>
        <v xml:space="preserve"> דירת 5 חדרים</v>
      </c>
      <c r="U347" s="1" t="str">
        <f>RIGHT(A347,30)</f>
        <v xml:space="preserve"> דירת 5 חדרים 3,128,205 27 133</v>
      </c>
    </row>
    <row r="348" spans="1:21" hidden="1" x14ac:dyDescent="0.25">
      <c r="A348" s="1" t="s">
        <v>10</v>
      </c>
      <c r="C348" s="1" t="str">
        <f t="shared" si="35"/>
        <v xml:space="preserve">₪ 25,017 </v>
      </c>
      <c r="E348" s="1" t="str">
        <f t="shared" si="33"/>
        <v>₪ 25,017 ₪ 3,590,000</v>
      </c>
      <c r="F348" s="1" t="str">
        <f t="shared" si="34"/>
        <v>3,590,000</v>
      </c>
      <c r="G348" s="1">
        <f t="shared" si="36"/>
        <v>3068376.0683760685</v>
      </c>
      <c r="J348" s="1" t="e">
        <f t="shared" ref="J348:J367" si="37">F348/C348-13</f>
        <v>#VALUE!</v>
      </c>
      <c r="L348" s="1">
        <v>3</v>
      </c>
      <c r="M348" s="1">
        <v>27</v>
      </c>
      <c r="O348" s="61" t="str">
        <f t="shared" ref="O348:O371" si="38">LEFT(U348,13)</f>
        <v xml:space="preserve"> דירת 5 חדרים</v>
      </c>
      <c r="U348" s="1" t="str">
        <f t="shared" ref="U348:U371" si="39">RIGHT(A348,30)</f>
        <v xml:space="preserve"> דירת 5 חדרים 3,068,376 27 130</v>
      </c>
    </row>
    <row r="349" spans="1:21" hidden="1" x14ac:dyDescent="0.25">
      <c r="A349" s="1" t="s">
        <v>11</v>
      </c>
      <c r="C349" s="1" t="str">
        <f t="shared" si="35"/>
        <v xml:space="preserve">₪ 25,027 </v>
      </c>
      <c r="E349" s="1" t="str">
        <f t="shared" si="33"/>
        <v>₪ 25,027 ₪ 2,340,000</v>
      </c>
      <c r="F349" s="1" t="str">
        <f t="shared" si="34"/>
        <v>2,340,000</v>
      </c>
      <c r="G349" s="1">
        <f t="shared" si="36"/>
        <v>2000000.0000000002</v>
      </c>
      <c r="J349" s="1" t="e">
        <f t="shared" si="37"/>
        <v>#VALUE!</v>
      </c>
      <c r="L349" s="1">
        <v>4</v>
      </c>
      <c r="M349" s="1">
        <v>27</v>
      </c>
      <c r="O349" s="61" t="str">
        <f t="shared" si="38"/>
        <v>4 דירת 3 חדרי</v>
      </c>
      <c r="U349" s="1" t="str">
        <f t="shared" si="39"/>
        <v>4 דירת 3 חדרים 2,000,000 27 80</v>
      </c>
    </row>
    <row r="350" spans="1:21" hidden="1" x14ac:dyDescent="0.25">
      <c r="A350" s="1" t="s">
        <v>12</v>
      </c>
      <c r="C350" s="1" t="str">
        <f t="shared" si="35"/>
        <v xml:space="preserve">₪ 25,171 </v>
      </c>
      <c r="E350" s="1" t="str">
        <f t="shared" si="33"/>
        <v>₪ 25,171 ₪ 3,680,000</v>
      </c>
      <c r="F350" s="1" t="str">
        <f t="shared" si="34"/>
        <v>3,680,000</v>
      </c>
      <c r="G350" s="1">
        <f t="shared" si="36"/>
        <v>3145299.1452991455</v>
      </c>
      <c r="J350" s="1" t="e">
        <f t="shared" si="37"/>
        <v>#VALUE!</v>
      </c>
      <c r="L350" s="1">
        <v>5</v>
      </c>
      <c r="M350" s="1">
        <v>27</v>
      </c>
      <c r="O350" s="61" t="str">
        <f t="shared" si="38"/>
        <v xml:space="preserve"> דירת 5 חדרים</v>
      </c>
      <c r="U350" s="1" t="str">
        <f t="shared" si="39"/>
        <v xml:space="preserve"> דירת 5 חדרים 3,145,299 27 133</v>
      </c>
    </row>
    <row r="351" spans="1:21" hidden="1" x14ac:dyDescent="0.25">
      <c r="A351" s="1" t="s">
        <v>13</v>
      </c>
      <c r="C351" s="1" t="str">
        <f t="shared" si="35"/>
        <v xml:space="preserve">₪ 25,157 </v>
      </c>
      <c r="E351" s="1" t="str">
        <f t="shared" si="33"/>
        <v>₪ 25,157 ₪ 3,610,000</v>
      </c>
      <c r="F351" s="1" t="str">
        <f t="shared" si="34"/>
        <v>3,610,000</v>
      </c>
      <c r="G351" s="1">
        <f t="shared" si="36"/>
        <v>3085470.0854700855</v>
      </c>
      <c r="J351" s="1" t="e">
        <f t="shared" si="37"/>
        <v>#VALUE!</v>
      </c>
      <c r="L351" s="1">
        <v>6</v>
      </c>
      <c r="M351" s="1">
        <v>27</v>
      </c>
      <c r="O351" s="61" t="str">
        <f t="shared" si="38"/>
        <v xml:space="preserve"> דירת 5 חדרים</v>
      </c>
      <c r="U351" s="1" t="str">
        <f t="shared" si="39"/>
        <v xml:space="preserve"> דירת 5 חדרים 3,085,470 27 130</v>
      </c>
    </row>
    <row r="352" spans="1:21" hidden="1" x14ac:dyDescent="0.25">
      <c r="A352" s="1" t="s">
        <v>14</v>
      </c>
      <c r="C352" s="1" t="str">
        <f t="shared" si="35"/>
        <v xml:space="preserve">₪ 25,241 </v>
      </c>
      <c r="E352" s="1" t="str">
        <f t="shared" si="33"/>
        <v>₪ 25,241 ₪ 2,360,000</v>
      </c>
      <c r="F352" s="1" t="str">
        <f t="shared" si="34"/>
        <v>2,360,000</v>
      </c>
      <c r="G352" s="1">
        <f t="shared" si="36"/>
        <v>2017094.0170940172</v>
      </c>
      <c r="J352" s="1" t="e">
        <f t="shared" si="37"/>
        <v>#VALUE!</v>
      </c>
      <c r="L352" s="1">
        <v>7</v>
      </c>
      <c r="M352" s="1">
        <v>27</v>
      </c>
      <c r="O352" s="61" t="str">
        <f t="shared" si="38"/>
        <v>7 דירת 3 חדרי</v>
      </c>
      <c r="U352" s="1" t="str">
        <f t="shared" si="39"/>
        <v>7 דירת 3 חדרים 2,017,094 27 80</v>
      </c>
    </row>
    <row r="353" spans="1:21" hidden="1" x14ac:dyDescent="0.25">
      <c r="A353" s="1" t="s">
        <v>15</v>
      </c>
      <c r="C353" s="1" t="str">
        <f t="shared" si="35"/>
        <v xml:space="preserve">₪ 25,308 </v>
      </c>
      <c r="E353" s="1" t="str">
        <f t="shared" si="33"/>
        <v>₪ 25,308 ₪ 3,700,000</v>
      </c>
      <c r="F353" s="1" t="str">
        <f t="shared" si="34"/>
        <v>3,700,000</v>
      </c>
      <c r="G353" s="1">
        <f t="shared" si="36"/>
        <v>3162393.1623931625</v>
      </c>
      <c r="J353" s="1" t="e">
        <f t="shared" si="37"/>
        <v>#VALUE!</v>
      </c>
      <c r="L353" s="1">
        <v>8</v>
      </c>
      <c r="M353" s="1">
        <v>27</v>
      </c>
      <c r="O353" s="61" t="str">
        <f t="shared" si="38"/>
        <v xml:space="preserve"> דירת 5 חדרים</v>
      </c>
      <c r="U353" s="1" t="str">
        <f t="shared" si="39"/>
        <v xml:space="preserve"> דירת 5 חדרים 3,162,393 27 133</v>
      </c>
    </row>
    <row r="354" spans="1:21" hidden="1" x14ac:dyDescent="0.25">
      <c r="A354" s="1" t="s">
        <v>16</v>
      </c>
      <c r="C354" s="1" t="str">
        <f t="shared" si="35"/>
        <v xml:space="preserve">₪ 25,296 </v>
      </c>
      <c r="E354" s="1" t="str">
        <f t="shared" si="33"/>
        <v>₪ 25,296 ₪ 3,630,000</v>
      </c>
      <c r="F354" s="1" t="str">
        <f t="shared" si="34"/>
        <v>3,630,000</v>
      </c>
      <c r="G354" s="1">
        <f t="shared" si="36"/>
        <v>3102564.102564103</v>
      </c>
      <c r="J354" s="1" t="e">
        <f t="shared" si="37"/>
        <v>#VALUE!</v>
      </c>
      <c r="L354" s="1">
        <v>9</v>
      </c>
      <c r="M354" s="1">
        <v>27</v>
      </c>
      <c r="O354" s="61" t="str">
        <f t="shared" si="38"/>
        <v xml:space="preserve"> דירת 5 חדרים</v>
      </c>
      <c r="U354" s="1" t="str">
        <f t="shared" si="39"/>
        <v xml:space="preserve"> דירת 5 חדרים 3,102,564 27 130</v>
      </c>
    </row>
    <row r="355" spans="1:21" hidden="1" x14ac:dyDescent="0.25">
      <c r="A355" s="1" t="s">
        <v>17</v>
      </c>
      <c r="C355" s="1" t="str">
        <f t="shared" si="35"/>
        <v xml:space="preserve">₪ 25,455 </v>
      </c>
      <c r="E355" s="1" t="str">
        <f t="shared" si="33"/>
        <v>₪ 25,455 ₪ 2,380,000</v>
      </c>
      <c r="F355" s="1" t="str">
        <f t="shared" si="34"/>
        <v>2,380,000</v>
      </c>
      <c r="G355" s="1">
        <f t="shared" si="36"/>
        <v>2034188.0341880342</v>
      </c>
      <c r="J355" s="1" t="e">
        <f t="shared" si="37"/>
        <v>#VALUE!</v>
      </c>
      <c r="L355" s="1">
        <v>10</v>
      </c>
      <c r="M355" s="1">
        <v>27</v>
      </c>
      <c r="O355" s="61" t="str">
        <f t="shared" si="38"/>
        <v>0 דירת 3 חדרי</v>
      </c>
      <c r="U355" s="1" t="str">
        <f t="shared" si="39"/>
        <v>0 דירת 3 חדרים 2,034,188 27 80</v>
      </c>
    </row>
    <row r="356" spans="1:21" hidden="1" x14ac:dyDescent="0.25">
      <c r="A356" s="1" t="s">
        <v>18</v>
      </c>
      <c r="C356" s="1" t="str">
        <f t="shared" si="35"/>
        <v xml:space="preserve">₪ 25,445 </v>
      </c>
      <c r="E356" s="1" t="str">
        <f t="shared" si="33"/>
        <v>₪ 25,445 ₪ 3,720,000</v>
      </c>
      <c r="F356" s="1" t="str">
        <f t="shared" si="34"/>
        <v>3,720,000</v>
      </c>
      <c r="G356" s="1">
        <f t="shared" si="36"/>
        <v>3179487.1794871795</v>
      </c>
      <c r="J356" s="1" t="e">
        <f t="shared" si="37"/>
        <v>#VALUE!</v>
      </c>
      <c r="L356" s="1">
        <v>11</v>
      </c>
      <c r="M356" s="1">
        <v>27</v>
      </c>
      <c r="O356" s="61" t="str">
        <f t="shared" si="38"/>
        <v xml:space="preserve"> דירת 5 חדרים</v>
      </c>
      <c r="U356" s="1" t="str">
        <f t="shared" si="39"/>
        <v xml:space="preserve"> דירת 5 חדרים 3,179,487 27 133</v>
      </c>
    </row>
    <row r="357" spans="1:21" hidden="1" x14ac:dyDescent="0.25">
      <c r="A357" s="1" t="s">
        <v>19</v>
      </c>
      <c r="C357" s="1" t="str">
        <f t="shared" si="35"/>
        <v xml:space="preserve">₪ 25,436 </v>
      </c>
      <c r="E357" s="1" t="str">
        <f t="shared" si="33"/>
        <v>₪ 25,436 ₪ 3,650,000</v>
      </c>
      <c r="F357" s="1" t="str">
        <f t="shared" si="34"/>
        <v>3,650,000</v>
      </c>
      <c r="G357" s="1">
        <f t="shared" si="36"/>
        <v>3119658.11965812</v>
      </c>
      <c r="J357" s="1" t="e">
        <f t="shared" si="37"/>
        <v>#VALUE!</v>
      </c>
      <c r="L357" s="1">
        <v>12</v>
      </c>
      <c r="M357" s="1">
        <v>27</v>
      </c>
      <c r="O357" s="61" t="str">
        <f t="shared" si="38"/>
        <v xml:space="preserve"> דירת 5 חדרים</v>
      </c>
      <c r="U357" s="1" t="str">
        <f t="shared" si="39"/>
        <v xml:space="preserve"> דירת 5 חדרים 3,119,658 27 130</v>
      </c>
    </row>
    <row r="358" spans="1:21" hidden="1" x14ac:dyDescent="0.25">
      <c r="A358" s="1" t="s">
        <v>20</v>
      </c>
      <c r="C358" s="1" t="str">
        <f t="shared" si="35"/>
        <v xml:space="preserve">₪ 25,668 </v>
      </c>
      <c r="E358" s="1" t="str">
        <f t="shared" si="33"/>
        <v>₪ 25,668 ₪ 2,400,000</v>
      </c>
      <c r="F358" s="1" t="str">
        <f t="shared" si="34"/>
        <v>2,400,000</v>
      </c>
      <c r="G358" s="1">
        <f t="shared" si="36"/>
        <v>2051282.0512820515</v>
      </c>
      <c r="J358" s="1" t="e">
        <f t="shared" si="37"/>
        <v>#VALUE!</v>
      </c>
      <c r="L358" s="1">
        <v>13</v>
      </c>
      <c r="M358" s="1">
        <v>27</v>
      </c>
      <c r="O358" s="61" t="str">
        <f t="shared" si="38"/>
        <v>3 דירת 3 חדרי</v>
      </c>
      <c r="U358" s="1" t="str">
        <f t="shared" si="39"/>
        <v>3 דירת 3 חדרים 2,051,282 27 80</v>
      </c>
    </row>
    <row r="359" spans="1:21" hidden="1" x14ac:dyDescent="0.25">
      <c r="A359" s="1" t="s">
        <v>21</v>
      </c>
      <c r="C359" s="1" t="str">
        <f t="shared" si="35"/>
        <v xml:space="preserve">₪ 25,581 </v>
      </c>
      <c r="E359" s="1" t="str">
        <f t="shared" si="33"/>
        <v>₪ 25,581 ₪ 3,740,000</v>
      </c>
      <c r="F359" s="1" t="str">
        <f t="shared" si="34"/>
        <v>3,740,000</v>
      </c>
      <c r="G359" s="1">
        <f t="shared" si="36"/>
        <v>3196581.196581197</v>
      </c>
      <c r="J359" s="1" t="e">
        <f t="shared" si="37"/>
        <v>#VALUE!</v>
      </c>
      <c r="L359" s="1">
        <v>14</v>
      </c>
      <c r="M359" s="1">
        <v>27</v>
      </c>
      <c r="O359" s="61" t="str">
        <f t="shared" si="38"/>
        <v xml:space="preserve"> דירת 5 חדרים</v>
      </c>
      <c r="U359" s="1" t="str">
        <f t="shared" si="39"/>
        <v xml:space="preserve"> דירת 5 חדרים 3,196,581 27 133</v>
      </c>
    </row>
    <row r="360" spans="1:21" hidden="1" x14ac:dyDescent="0.25">
      <c r="A360" s="1" t="s">
        <v>22</v>
      </c>
      <c r="C360" s="1" t="str">
        <f t="shared" si="35"/>
        <v xml:space="preserve">₪ 25,575 </v>
      </c>
      <c r="E360" s="1" t="str">
        <f t="shared" si="33"/>
        <v>₪ 25,575 ₪ 3,670,000</v>
      </c>
      <c r="F360" s="1" t="str">
        <f t="shared" si="34"/>
        <v>3,670,000</v>
      </c>
      <c r="G360" s="1">
        <f t="shared" si="36"/>
        <v>3136752.136752137</v>
      </c>
      <c r="J360" s="1" t="e">
        <f t="shared" si="37"/>
        <v>#VALUE!</v>
      </c>
      <c r="L360" s="1">
        <v>15</v>
      </c>
      <c r="M360" s="1">
        <v>27</v>
      </c>
      <c r="O360" s="61" t="str">
        <f t="shared" si="38"/>
        <v xml:space="preserve"> דירת 5 חדרים</v>
      </c>
      <c r="U360" s="1" t="str">
        <f t="shared" si="39"/>
        <v xml:space="preserve"> דירת 5 חדרים 3,136,752 27 130</v>
      </c>
    </row>
    <row r="361" spans="1:21" hidden="1" x14ac:dyDescent="0.25">
      <c r="A361" s="1" t="s">
        <v>57</v>
      </c>
      <c r="C361" s="1" t="str">
        <f t="shared" si="35"/>
        <v xml:space="preserve">₪ 25,633 </v>
      </c>
      <c r="E361" s="1" t="str">
        <f t="shared" si="33"/>
        <v>₪ 25,633 ₪ 3,140,000</v>
      </c>
      <c r="F361" s="1" t="str">
        <f t="shared" si="34"/>
        <v>3,140,000</v>
      </c>
      <c r="G361" s="1">
        <f t="shared" si="36"/>
        <v>2683760.683760684</v>
      </c>
      <c r="J361" s="1" t="e">
        <f t="shared" si="37"/>
        <v>#VALUE!</v>
      </c>
      <c r="L361" s="1">
        <v>16</v>
      </c>
      <c r="M361" s="1">
        <v>27</v>
      </c>
      <c r="O361" s="61" t="str">
        <f t="shared" si="38"/>
        <v xml:space="preserve"> דירת 5 חדרים</v>
      </c>
      <c r="U361" s="1" t="str">
        <f t="shared" si="39"/>
        <v xml:space="preserve"> דירת 5 חדרים 2,683,761 27 109</v>
      </c>
    </row>
    <row r="362" spans="1:21" hidden="1" x14ac:dyDescent="0.25">
      <c r="A362" s="1" t="s">
        <v>24</v>
      </c>
      <c r="C362" s="1" t="str">
        <f t="shared" si="35"/>
        <v xml:space="preserve">₪ 25,718 </v>
      </c>
      <c r="E362" s="1" t="str">
        <f t="shared" si="33"/>
        <v>₪ 25,718 ₪ 3,760,000</v>
      </c>
      <c r="F362" s="1" t="str">
        <f t="shared" si="34"/>
        <v>3,760,000</v>
      </c>
      <c r="G362" s="1">
        <f t="shared" si="36"/>
        <v>3213675.213675214</v>
      </c>
      <c r="J362" s="1" t="e">
        <f t="shared" si="37"/>
        <v>#VALUE!</v>
      </c>
      <c r="L362" s="1">
        <v>17</v>
      </c>
      <c r="M362" s="1">
        <v>27</v>
      </c>
      <c r="O362" s="61" t="str">
        <f t="shared" si="38"/>
        <v xml:space="preserve"> דירת 5 חדרים</v>
      </c>
      <c r="U362" s="1" t="str">
        <f t="shared" si="39"/>
        <v xml:space="preserve"> דירת 5 חדרים 3,213,675 27 133</v>
      </c>
    </row>
    <row r="363" spans="1:21" hidden="1" x14ac:dyDescent="0.25">
      <c r="A363" s="1" t="s">
        <v>25</v>
      </c>
      <c r="C363" s="1" t="str">
        <f t="shared" si="35"/>
        <v xml:space="preserve">₪ 25,714 </v>
      </c>
      <c r="E363" s="1" t="str">
        <f t="shared" si="33"/>
        <v>₪ 25,714 ₪ 3,690,000</v>
      </c>
      <c r="F363" s="1" t="str">
        <f t="shared" si="34"/>
        <v>3,690,000</v>
      </c>
      <c r="G363" s="1">
        <f t="shared" si="36"/>
        <v>3153846.153846154</v>
      </c>
      <c r="J363" s="1" t="e">
        <f t="shared" si="37"/>
        <v>#VALUE!</v>
      </c>
      <c r="L363" s="1">
        <v>18</v>
      </c>
      <c r="M363" s="1">
        <v>27</v>
      </c>
      <c r="O363" s="61" t="str">
        <f t="shared" si="38"/>
        <v xml:space="preserve"> דירת 5 חדרים</v>
      </c>
      <c r="U363" s="1" t="str">
        <f t="shared" si="39"/>
        <v xml:space="preserve"> דירת 5 חדרים 3,153,846 27 130</v>
      </c>
    </row>
    <row r="364" spans="1:21" hidden="1" x14ac:dyDescent="0.25">
      <c r="A364" s="1" t="s">
        <v>26</v>
      </c>
      <c r="C364" s="1" t="str">
        <f t="shared" si="35"/>
        <v xml:space="preserve">₪ 25,796 </v>
      </c>
      <c r="E364" s="1" t="str">
        <f t="shared" si="33"/>
        <v>₪ 25,796 ₪ 3,160,000</v>
      </c>
      <c r="F364" s="1" t="str">
        <f t="shared" si="34"/>
        <v>3,160,000</v>
      </c>
      <c r="G364" s="1">
        <f t="shared" si="36"/>
        <v>2700854.700854701</v>
      </c>
      <c r="J364" s="1" t="e">
        <f t="shared" si="37"/>
        <v>#VALUE!</v>
      </c>
      <c r="L364" s="1">
        <v>19</v>
      </c>
      <c r="M364" s="1">
        <v>27</v>
      </c>
      <c r="O364" s="61" t="str">
        <f t="shared" si="38"/>
        <v xml:space="preserve"> דירת 5 חדרים</v>
      </c>
      <c r="U364" s="1" t="str">
        <f t="shared" si="39"/>
        <v xml:space="preserve"> דירת 5 חדרים 2,700,855 27 109</v>
      </c>
    </row>
    <row r="365" spans="1:21" hidden="1" x14ac:dyDescent="0.25">
      <c r="A365" s="1" t="s">
        <v>27</v>
      </c>
      <c r="C365" s="1" t="str">
        <f t="shared" si="35"/>
        <v xml:space="preserve">₪ 25,855 </v>
      </c>
      <c r="E365" s="1" t="str">
        <f t="shared" si="33"/>
        <v>₪ 25,855 ₪ 3,780,000</v>
      </c>
      <c r="F365" s="1" t="str">
        <f t="shared" si="34"/>
        <v>3,780,000</v>
      </c>
      <c r="G365" s="1">
        <f t="shared" si="36"/>
        <v>3230769.230769231</v>
      </c>
      <c r="J365" s="1" t="e">
        <f t="shared" si="37"/>
        <v>#VALUE!</v>
      </c>
      <c r="L365" s="1">
        <v>20</v>
      </c>
      <c r="M365" s="1">
        <v>27</v>
      </c>
      <c r="O365" s="61" t="str">
        <f t="shared" si="38"/>
        <v xml:space="preserve"> דירת 5 חדרים</v>
      </c>
      <c r="U365" s="1" t="str">
        <f t="shared" si="39"/>
        <v xml:space="preserve"> דירת 5 חדרים 3,230,769 27 133</v>
      </c>
    </row>
    <row r="366" spans="1:21" hidden="1" x14ac:dyDescent="0.25">
      <c r="A366" s="1" t="s">
        <v>28</v>
      </c>
      <c r="C366" s="1" t="str">
        <f t="shared" si="35"/>
        <v xml:space="preserve">₪ 25,854 </v>
      </c>
      <c r="E366" s="1" t="str">
        <f t="shared" si="33"/>
        <v>₪ 25,854 ₪ 3,710,000</v>
      </c>
      <c r="F366" s="1" t="str">
        <f t="shared" si="34"/>
        <v>3,710,000</v>
      </c>
      <c r="G366" s="1">
        <f t="shared" si="36"/>
        <v>3170940.170940171</v>
      </c>
      <c r="J366" s="1" t="e">
        <f t="shared" si="37"/>
        <v>#VALUE!</v>
      </c>
      <c r="L366" s="1">
        <v>21</v>
      </c>
      <c r="M366" s="1">
        <v>27</v>
      </c>
      <c r="O366" s="61" t="str">
        <f t="shared" si="38"/>
        <v xml:space="preserve"> דירת 5 חדרים</v>
      </c>
      <c r="U366" s="1" t="str">
        <f t="shared" si="39"/>
        <v xml:space="preserve"> דירת 5 חדרים 3,170,940 27 130</v>
      </c>
    </row>
    <row r="367" spans="1:21" hidden="1" x14ac:dyDescent="0.25">
      <c r="A367" s="1" t="s">
        <v>29</v>
      </c>
      <c r="C367" s="1" t="str">
        <f t="shared" si="35"/>
        <v xml:space="preserve">₪ 25,959 </v>
      </c>
      <c r="E367" s="1" t="str">
        <f t="shared" si="33"/>
        <v>₪ 25,959 ₪ 3,180,000</v>
      </c>
      <c r="F367" s="1" t="str">
        <f t="shared" si="34"/>
        <v>3,180,000</v>
      </c>
      <c r="G367" s="1">
        <f t="shared" si="36"/>
        <v>2717948.717948718</v>
      </c>
      <c r="J367" s="1" t="e">
        <f t="shared" si="37"/>
        <v>#VALUE!</v>
      </c>
      <c r="L367" s="1">
        <v>22</v>
      </c>
      <c r="M367" s="1">
        <v>27</v>
      </c>
      <c r="O367" s="61" t="str">
        <f t="shared" si="38"/>
        <v xml:space="preserve"> דירת 5 חדרים</v>
      </c>
      <c r="U367" s="1" t="str">
        <f t="shared" si="39"/>
        <v xml:space="preserve"> דירת 5 חדרים 2,717,949 27 109</v>
      </c>
    </row>
    <row r="368" spans="1:21" hidden="1" x14ac:dyDescent="0.25">
      <c r="A368" s="1" t="s">
        <v>30</v>
      </c>
      <c r="C368" s="1" t="str">
        <f t="shared" si="35"/>
        <v xml:space="preserve">₪ 27,895 </v>
      </c>
      <c r="E368" s="1" t="str">
        <f t="shared" si="33"/>
        <v>₪ 27,895 ₪ 4,240,000</v>
      </c>
      <c r="F368" s="1" t="str">
        <f t="shared" si="34"/>
        <v>4,240,000</v>
      </c>
      <c r="G368" s="1">
        <f t="shared" si="36"/>
        <v>3623931.623931624</v>
      </c>
      <c r="J368" s="1" t="e">
        <f t="shared" ref="J368:J371" si="40">F368/C368</f>
        <v>#VALUE!</v>
      </c>
      <c r="L368" s="1">
        <v>23</v>
      </c>
      <c r="N368" s="1">
        <v>40</v>
      </c>
      <c r="O368" s="61" t="str">
        <f t="shared" si="38"/>
        <v>טהאוז 6 חדרים</v>
      </c>
      <c r="U368" s="1" t="str">
        <f t="shared" si="39"/>
        <v>טהאוז 6 חדרים 3,623,932 40 152</v>
      </c>
    </row>
    <row r="369" spans="1:21" hidden="1" x14ac:dyDescent="0.25">
      <c r="A369" s="1" t="s">
        <v>31</v>
      </c>
      <c r="C369" s="1" t="str">
        <f t="shared" si="35"/>
        <v xml:space="preserve">₪ 27,895 </v>
      </c>
      <c r="E369" s="1" t="str">
        <f t="shared" si="33"/>
        <v>₪ 27,895 ₪ 4,240,000</v>
      </c>
      <c r="F369" s="1" t="str">
        <f t="shared" si="34"/>
        <v>4,240,000</v>
      </c>
      <c r="G369" s="1">
        <f t="shared" si="36"/>
        <v>3623931.623931624</v>
      </c>
      <c r="J369" s="1" t="e">
        <f t="shared" si="40"/>
        <v>#VALUE!</v>
      </c>
      <c r="L369" s="1">
        <v>24</v>
      </c>
      <c r="N369" s="1">
        <v>40</v>
      </c>
      <c r="O369" s="61" t="str">
        <f t="shared" si="38"/>
        <v>טהאוז 6 חדרים</v>
      </c>
      <c r="U369" s="1" t="str">
        <f t="shared" si="39"/>
        <v>טהאוז 6 חדרים 3,623,932 40 152</v>
      </c>
    </row>
    <row r="370" spans="1:21" hidden="1" x14ac:dyDescent="0.25">
      <c r="A370" s="1" t="s">
        <v>32</v>
      </c>
      <c r="C370" s="1" t="str">
        <f t="shared" si="35"/>
        <v xml:space="preserve">₪ 27,861 </v>
      </c>
      <c r="E370" s="1" t="str">
        <f t="shared" si="33"/>
        <v>₪ 27,861 ₪ 5,210,000</v>
      </c>
      <c r="F370" s="1" t="str">
        <f t="shared" si="34"/>
        <v>5,210,000</v>
      </c>
      <c r="G370" s="1">
        <f t="shared" si="36"/>
        <v>4452991.452991453</v>
      </c>
      <c r="J370" s="1" t="e">
        <f t="shared" si="40"/>
        <v>#VALUE!</v>
      </c>
      <c r="L370" s="1">
        <v>25</v>
      </c>
      <c r="N370" s="1">
        <v>70</v>
      </c>
      <c r="O370" s="61" t="str">
        <f t="shared" si="38"/>
        <v>ופלקס 5 חדרים</v>
      </c>
      <c r="U370" s="1" t="str">
        <f t="shared" si="39"/>
        <v>ופלקס 5 חדרים 4,452,991 70 187</v>
      </c>
    </row>
    <row r="371" spans="1:21" hidden="1" x14ac:dyDescent="0.25">
      <c r="A371" s="1" t="s">
        <v>33</v>
      </c>
      <c r="C371" s="1" t="str">
        <f t="shared" si="35"/>
        <v xml:space="preserve">₪ 27,861 </v>
      </c>
      <c r="E371" s="1" t="str">
        <f t="shared" si="33"/>
        <v>₪ 27,861 ₪ 5,210,000</v>
      </c>
      <c r="F371" s="1" t="str">
        <f t="shared" si="34"/>
        <v>5,210,000</v>
      </c>
      <c r="G371" s="1">
        <f t="shared" si="36"/>
        <v>4452991.452991453</v>
      </c>
      <c r="J371" s="1" t="e">
        <f t="shared" si="40"/>
        <v>#VALUE!</v>
      </c>
      <c r="L371" s="1">
        <v>26</v>
      </c>
      <c r="N371" s="1">
        <v>70</v>
      </c>
      <c r="O371" s="61" t="str">
        <f t="shared" si="38"/>
        <v>ופלקס 5 חדרים</v>
      </c>
      <c r="U371" s="1" t="str">
        <f t="shared" si="39"/>
        <v>ופלקס 5 חדרים 4,452,991 70 187</v>
      </c>
    </row>
    <row r="372" spans="1:21" hidden="1" x14ac:dyDescent="0.25"/>
  </sheetData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1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47"/>
  <sheetViews>
    <sheetView zoomScaleNormal="100" zoomScaleSheetLayoutView="70" workbookViewId="0">
      <selection activeCell="F19" sqref="F19"/>
    </sheetView>
  </sheetViews>
  <sheetFormatPr defaultRowHeight="12.5" x14ac:dyDescent="0.25"/>
  <cols>
    <col min="1" max="1" width="35.1796875" style="1" customWidth="1"/>
    <col min="2" max="2" width="48.54296875" style="1" bestFit="1" customWidth="1"/>
    <col min="3" max="3" width="17.453125" style="1" customWidth="1"/>
    <col min="4" max="4" width="21.1796875" style="1" customWidth="1"/>
    <col min="5" max="5" width="19" style="1" bestFit="1" customWidth="1"/>
    <col min="6" max="6" width="14.81640625" style="1" customWidth="1"/>
    <col min="7" max="9" width="21.453125" style="1" customWidth="1"/>
    <col min="10" max="10" width="15.54296875" style="1" bestFit="1" customWidth="1"/>
    <col min="11" max="11" width="15.54296875" style="1" customWidth="1"/>
    <col min="12" max="12" width="15.54296875" style="1" bestFit="1" customWidth="1"/>
    <col min="13" max="14" width="8.7265625" style="1"/>
    <col min="15" max="15" width="15.54296875" style="1" bestFit="1" customWidth="1"/>
    <col min="16" max="17" width="8.7265625" style="1"/>
    <col min="18" max="18" width="11.453125" style="1" bestFit="1" customWidth="1"/>
    <col min="19" max="262" width="8.7265625" style="1"/>
    <col min="263" max="263" width="33.1796875" style="1" customWidth="1"/>
    <col min="264" max="264" width="9.1796875" style="1" bestFit="1" customWidth="1"/>
    <col min="265" max="265" width="12.7265625" style="1" bestFit="1" customWidth="1"/>
    <col min="266" max="266" width="11.7265625" style="1" customWidth="1"/>
    <col min="267" max="267" width="29.54296875" style="1" customWidth="1"/>
    <col min="268" max="268" width="16.453125" style="1" customWidth="1"/>
    <col min="269" max="269" width="16.453125" style="1" bestFit="1" customWidth="1"/>
    <col min="270" max="270" width="17.1796875" style="1" bestFit="1" customWidth="1"/>
    <col min="271" max="271" width="9.54296875" style="1" customWidth="1"/>
    <col min="272" max="518" width="8.7265625" style="1"/>
    <col min="519" max="519" width="33.1796875" style="1" customWidth="1"/>
    <col min="520" max="520" width="9.1796875" style="1" bestFit="1" customWidth="1"/>
    <col min="521" max="521" width="12.7265625" style="1" bestFit="1" customWidth="1"/>
    <col min="522" max="522" width="11.7265625" style="1" customWidth="1"/>
    <col min="523" max="523" width="29.54296875" style="1" customWidth="1"/>
    <col min="524" max="524" width="16.453125" style="1" customWidth="1"/>
    <col min="525" max="525" width="16.453125" style="1" bestFit="1" customWidth="1"/>
    <col min="526" max="526" width="17.1796875" style="1" bestFit="1" customWidth="1"/>
    <col min="527" max="527" width="9.54296875" style="1" customWidth="1"/>
    <col min="528" max="774" width="8.7265625" style="1"/>
    <col min="775" max="775" width="33.1796875" style="1" customWidth="1"/>
    <col min="776" max="776" width="9.1796875" style="1" bestFit="1" customWidth="1"/>
    <col min="777" max="777" width="12.7265625" style="1" bestFit="1" customWidth="1"/>
    <col min="778" max="778" width="11.7265625" style="1" customWidth="1"/>
    <col min="779" max="779" width="29.54296875" style="1" customWidth="1"/>
    <col min="780" max="780" width="16.453125" style="1" customWidth="1"/>
    <col min="781" max="781" width="16.453125" style="1" bestFit="1" customWidth="1"/>
    <col min="782" max="782" width="17.1796875" style="1" bestFit="1" customWidth="1"/>
    <col min="783" max="783" width="9.54296875" style="1" customWidth="1"/>
    <col min="784" max="1030" width="8.7265625" style="1"/>
    <col min="1031" max="1031" width="33.1796875" style="1" customWidth="1"/>
    <col min="1032" max="1032" width="9.1796875" style="1" bestFit="1" customWidth="1"/>
    <col min="1033" max="1033" width="12.7265625" style="1" bestFit="1" customWidth="1"/>
    <col min="1034" max="1034" width="11.7265625" style="1" customWidth="1"/>
    <col min="1035" max="1035" width="29.54296875" style="1" customWidth="1"/>
    <col min="1036" max="1036" width="16.453125" style="1" customWidth="1"/>
    <col min="1037" max="1037" width="16.453125" style="1" bestFit="1" customWidth="1"/>
    <col min="1038" max="1038" width="17.1796875" style="1" bestFit="1" customWidth="1"/>
    <col min="1039" max="1039" width="9.54296875" style="1" customWidth="1"/>
    <col min="1040" max="1286" width="8.7265625" style="1"/>
    <col min="1287" max="1287" width="33.1796875" style="1" customWidth="1"/>
    <col min="1288" max="1288" width="9.1796875" style="1" bestFit="1" customWidth="1"/>
    <col min="1289" max="1289" width="12.7265625" style="1" bestFit="1" customWidth="1"/>
    <col min="1290" max="1290" width="11.7265625" style="1" customWidth="1"/>
    <col min="1291" max="1291" width="29.54296875" style="1" customWidth="1"/>
    <col min="1292" max="1292" width="16.453125" style="1" customWidth="1"/>
    <col min="1293" max="1293" width="16.453125" style="1" bestFit="1" customWidth="1"/>
    <col min="1294" max="1294" width="17.1796875" style="1" bestFit="1" customWidth="1"/>
    <col min="1295" max="1295" width="9.54296875" style="1" customWidth="1"/>
    <col min="1296" max="1542" width="8.7265625" style="1"/>
    <col min="1543" max="1543" width="33.1796875" style="1" customWidth="1"/>
    <col min="1544" max="1544" width="9.1796875" style="1" bestFit="1" customWidth="1"/>
    <col min="1545" max="1545" width="12.7265625" style="1" bestFit="1" customWidth="1"/>
    <col min="1546" max="1546" width="11.7265625" style="1" customWidth="1"/>
    <col min="1547" max="1547" width="29.54296875" style="1" customWidth="1"/>
    <col min="1548" max="1548" width="16.453125" style="1" customWidth="1"/>
    <col min="1549" max="1549" width="16.453125" style="1" bestFit="1" customWidth="1"/>
    <col min="1550" max="1550" width="17.1796875" style="1" bestFit="1" customWidth="1"/>
    <col min="1551" max="1551" width="9.54296875" style="1" customWidth="1"/>
    <col min="1552" max="1798" width="8.7265625" style="1"/>
    <col min="1799" max="1799" width="33.1796875" style="1" customWidth="1"/>
    <col min="1800" max="1800" width="9.1796875" style="1" bestFit="1" customWidth="1"/>
    <col min="1801" max="1801" width="12.7265625" style="1" bestFit="1" customWidth="1"/>
    <col min="1802" max="1802" width="11.7265625" style="1" customWidth="1"/>
    <col min="1803" max="1803" width="29.54296875" style="1" customWidth="1"/>
    <col min="1804" max="1804" width="16.453125" style="1" customWidth="1"/>
    <col min="1805" max="1805" width="16.453125" style="1" bestFit="1" customWidth="1"/>
    <col min="1806" max="1806" width="17.1796875" style="1" bestFit="1" customWidth="1"/>
    <col min="1807" max="1807" width="9.54296875" style="1" customWidth="1"/>
    <col min="1808" max="2054" width="8.7265625" style="1"/>
    <col min="2055" max="2055" width="33.1796875" style="1" customWidth="1"/>
    <col min="2056" max="2056" width="9.1796875" style="1" bestFit="1" customWidth="1"/>
    <col min="2057" max="2057" width="12.7265625" style="1" bestFit="1" customWidth="1"/>
    <col min="2058" max="2058" width="11.7265625" style="1" customWidth="1"/>
    <col min="2059" max="2059" width="29.54296875" style="1" customWidth="1"/>
    <col min="2060" max="2060" width="16.453125" style="1" customWidth="1"/>
    <col min="2061" max="2061" width="16.453125" style="1" bestFit="1" customWidth="1"/>
    <col min="2062" max="2062" width="17.1796875" style="1" bestFit="1" customWidth="1"/>
    <col min="2063" max="2063" width="9.54296875" style="1" customWidth="1"/>
    <col min="2064" max="2310" width="8.7265625" style="1"/>
    <col min="2311" max="2311" width="33.1796875" style="1" customWidth="1"/>
    <col min="2312" max="2312" width="9.1796875" style="1" bestFit="1" customWidth="1"/>
    <col min="2313" max="2313" width="12.7265625" style="1" bestFit="1" customWidth="1"/>
    <col min="2314" max="2314" width="11.7265625" style="1" customWidth="1"/>
    <col min="2315" max="2315" width="29.54296875" style="1" customWidth="1"/>
    <col min="2316" max="2316" width="16.453125" style="1" customWidth="1"/>
    <col min="2317" max="2317" width="16.453125" style="1" bestFit="1" customWidth="1"/>
    <col min="2318" max="2318" width="17.1796875" style="1" bestFit="1" customWidth="1"/>
    <col min="2319" max="2319" width="9.54296875" style="1" customWidth="1"/>
    <col min="2320" max="2566" width="8.7265625" style="1"/>
    <col min="2567" max="2567" width="33.1796875" style="1" customWidth="1"/>
    <col min="2568" max="2568" width="9.1796875" style="1" bestFit="1" customWidth="1"/>
    <col min="2569" max="2569" width="12.7265625" style="1" bestFit="1" customWidth="1"/>
    <col min="2570" max="2570" width="11.7265625" style="1" customWidth="1"/>
    <col min="2571" max="2571" width="29.54296875" style="1" customWidth="1"/>
    <col min="2572" max="2572" width="16.453125" style="1" customWidth="1"/>
    <col min="2573" max="2573" width="16.453125" style="1" bestFit="1" customWidth="1"/>
    <col min="2574" max="2574" width="17.1796875" style="1" bestFit="1" customWidth="1"/>
    <col min="2575" max="2575" width="9.54296875" style="1" customWidth="1"/>
    <col min="2576" max="2822" width="8.7265625" style="1"/>
    <col min="2823" max="2823" width="33.1796875" style="1" customWidth="1"/>
    <col min="2824" max="2824" width="9.1796875" style="1" bestFit="1" customWidth="1"/>
    <col min="2825" max="2825" width="12.7265625" style="1" bestFit="1" customWidth="1"/>
    <col min="2826" max="2826" width="11.7265625" style="1" customWidth="1"/>
    <col min="2827" max="2827" width="29.54296875" style="1" customWidth="1"/>
    <col min="2828" max="2828" width="16.453125" style="1" customWidth="1"/>
    <col min="2829" max="2829" width="16.453125" style="1" bestFit="1" customWidth="1"/>
    <col min="2830" max="2830" width="17.1796875" style="1" bestFit="1" customWidth="1"/>
    <col min="2831" max="2831" width="9.54296875" style="1" customWidth="1"/>
    <col min="2832" max="3078" width="8.7265625" style="1"/>
    <col min="3079" max="3079" width="33.1796875" style="1" customWidth="1"/>
    <col min="3080" max="3080" width="9.1796875" style="1" bestFit="1" customWidth="1"/>
    <col min="3081" max="3081" width="12.7265625" style="1" bestFit="1" customWidth="1"/>
    <col min="3082" max="3082" width="11.7265625" style="1" customWidth="1"/>
    <col min="3083" max="3083" width="29.54296875" style="1" customWidth="1"/>
    <col min="3084" max="3084" width="16.453125" style="1" customWidth="1"/>
    <col min="3085" max="3085" width="16.453125" style="1" bestFit="1" customWidth="1"/>
    <col min="3086" max="3086" width="17.1796875" style="1" bestFit="1" customWidth="1"/>
    <col min="3087" max="3087" width="9.54296875" style="1" customWidth="1"/>
    <col min="3088" max="3334" width="8.7265625" style="1"/>
    <col min="3335" max="3335" width="33.1796875" style="1" customWidth="1"/>
    <col min="3336" max="3336" width="9.1796875" style="1" bestFit="1" customWidth="1"/>
    <col min="3337" max="3337" width="12.7265625" style="1" bestFit="1" customWidth="1"/>
    <col min="3338" max="3338" width="11.7265625" style="1" customWidth="1"/>
    <col min="3339" max="3339" width="29.54296875" style="1" customWidth="1"/>
    <col min="3340" max="3340" width="16.453125" style="1" customWidth="1"/>
    <col min="3341" max="3341" width="16.453125" style="1" bestFit="1" customWidth="1"/>
    <col min="3342" max="3342" width="17.1796875" style="1" bestFit="1" customWidth="1"/>
    <col min="3343" max="3343" width="9.54296875" style="1" customWidth="1"/>
    <col min="3344" max="3590" width="8.7265625" style="1"/>
    <col min="3591" max="3591" width="33.1796875" style="1" customWidth="1"/>
    <col min="3592" max="3592" width="9.1796875" style="1" bestFit="1" customWidth="1"/>
    <col min="3593" max="3593" width="12.7265625" style="1" bestFit="1" customWidth="1"/>
    <col min="3594" max="3594" width="11.7265625" style="1" customWidth="1"/>
    <col min="3595" max="3595" width="29.54296875" style="1" customWidth="1"/>
    <col min="3596" max="3596" width="16.453125" style="1" customWidth="1"/>
    <col min="3597" max="3597" width="16.453125" style="1" bestFit="1" customWidth="1"/>
    <col min="3598" max="3598" width="17.1796875" style="1" bestFit="1" customWidth="1"/>
    <col min="3599" max="3599" width="9.54296875" style="1" customWidth="1"/>
    <col min="3600" max="3846" width="8.7265625" style="1"/>
    <col min="3847" max="3847" width="33.1796875" style="1" customWidth="1"/>
    <col min="3848" max="3848" width="9.1796875" style="1" bestFit="1" customWidth="1"/>
    <col min="3849" max="3849" width="12.7265625" style="1" bestFit="1" customWidth="1"/>
    <col min="3850" max="3850" width="11.7265625" style="1" customWidth="1"/>
    <col min="3851" max="3851" width="29.54296875" style="1" customWidth="1"/>
    <col min="3852" max="3852" width="16.453125" style="1" customWidth="1"/>
    <col min="3853" max="3853" width="16.453125" style="1" bestFit="1" customWidth="1"/>
    <col min="3854" max="3854" width="17.1796875" style="1" bestFit="1" customWidth="1"/>
    <col min="3855" max="3855" width="9.54296875" style="1" customWidth="1"/>
    <col min="3856" max="4102" width="8.7265625" style="1"/>
    <col min="4103" max="4103" width="33.1796875" style="1" customWidth="1"/>
    <col min="4104" max="4104" width="9.1796875" style="1" bestFit="1" customWidth="1"/>
    <col min="4105" max="4105" width="12.7265625" style="1" bestFit="1" customWidth="1"/>
    <col min="4106" max="4106" width="11.7265625" style="1" customWidth="1"/>
    <col min="4107" max="4107" width="29.54296875" style="1" customWidth="1"/>
    <col min="4108" max="4108" width="16.453125" style="1" customWidth="1"/>
    <col min="4109" max="4109" width="16.453125" style="1" bestFit="1" customWidth="1"/>
    <col min="4110" max="4110" width="17.1796875" style="1" bestFit="1" customWidth="1"/>
    <col min="4111" max="4111" width="9.54296875" style="1" customWidth="1"/>
    <col min="4112" max="4358" width="8.7265625" style="1"/>
    <col min="4359" max="4359" width="33.1796875" style="1" customWidth="1"/>
    <col min="4360" max="4360" width="9.1796875" style="1" bestFit="1" customWidth="1"/>
    <col min="4361" max="4361" width="12.7265625" style="1" bestFit="1" customWidth="1"/>
    <col min="4362" max="4362" width="11.7265625" style="1" customWidth="1"/>
    <col min="4363" max="4363" width="29.54296875" style="1" customWidth="1"/>
    <col min="4364" max="4364" width="16.453125" style="1" customWidth="1"/>
    <col min="4365" max="4365" width="16.453125" style="1" bestFit="1" customWidth="1"/>
    <col min="4366" max="4366" width="17.1796875" style="1" bestFit="1" customWidth="1"/>
    <col min="4367" max="4367" width="9.54296875" style="1" customWidth="1"/>
    <col min="4368" max="4614" width="8.7265625" style="1"/>
    <col min="4615" max="4615" width="33.1796875" style="1" customWidth="1"/>
    <col min="4616" max="4616" width="9.1796875" style="1" bestFit="1" customWidth="1"/>
    <col min="4617" max="4617" width="12.7265625" style="1" bestFit="1" customWidth="1"/>
    <col min="4618" max="4618" width="11.7265625" style="1" customWidth="1"/>
    <col min="4619" max="4619" width="29.54296875" style="1" customWidth="1"/>
    <col min="4620" max="4620" width="16.453125" style="1" customWidth="1"/>
    <col min="4621" max="4621" width="16.453125" style="1" bestFit="1" customWidth="1"/>
    <col min="4622" max="4622" width="17.1796875" style="1" bestFit="1" customWidth="1"/>
    <col min="4623" max="4623" width="9.54296875" style="1" customWidth="1"/>
    <col min="4624" max="4870" width="8.7265625" style="1"/>
    <col min="4871" max="4871" width="33.1796875" style="1" customWidth="1"/>
    <col min="4872" max="4872" width="9.1796875" style="1" bestFit="1" customWidth="1"/>
    <col min="4873" max="4873" width="12.7265625" style="1" bestFit="1" customWidth="1"/>
    <col min="4874" max="4874" width="11.7265625" style="1" customWidth="1"/>
    <col min="4875" max="4875" width="29.54296875" style="1" customWidth="1"/>
    <col min="4876" max="4876" width="16.453125" style="1" customWidth="1"/>
    <col min="4877" max="4877" width="16.453125" style="1" bestFit="1" customWidth="1"/>
    <col min="4878" max="4878" width="17.1796875" style="1" bestFit="1" customWidth="1"/>
    <col min="4879" max="4879" width="9.54296875" style="1" customWidth="1"/>
    <col min="4880" max="5126" width="8.7265625" style="1"/>
    <col min="5127" max="5127" width="33.1796875" style="1" customWidth="1"/>
    <col min="5128" max="5128" width="9.1796875" style="1" bestFit="1" customWidth="1"/>
    <col min="5129" max="5129" width="12.7265625" style="1" bestFit="1" customWidth="1"/>
    <col min="5130" max="5130" width="11.7265625" style="1" customWidth="1"/>
    <col min="5131" max="5131" width="29.54296875" style="1" customWidth="1"/>
    <col min="5132" max="5132" width="16.453125" style="1" customWidth="1"/>
    <col min="5133" max="5133" width="16.453125" style="1" bestFit="1" customWidth="1"/>
    <col min="5134" max="5134" width="17.1796875" style="1" bestFit="1" customWidth="1"/>
    <col min="5135" max="5135" width="9.54296875" style="1" customWidth="1"/>
    <col min="5136" max="5382" width="8.7265625" style="1"/>
    <col min="5383" max="5383" width="33.1796875" style="1" customWidth="1"/>
    <col min="5384" max="5384" width="9.1796875" style="1" bestFit="1" customWidth="1"/>
    <col min="5385" max="5385" width="12.7265625" style="1" bestFit="1" customWidth="1"/>
    <col min="5386" max="5386" width="11.7265625" style="1" customWidth="1"/>
    <col min="5387" max="5387" width="29.54296875" style="1" customWidth="1"/>
    <col min="5388" max="5388" width="16.453125" style="1" customWidth="1"/>
    <col min="5389" max="5389" width="16.453125" style="1" bestFit="1" customWidth="1"/>
    <col min="5390" max="5390" width="17.1796875" style="1" bestFit="1" customWidth="1"/>
    <col min="5391" max="5391" width="9.54296875" style="1" customWidth="1"/>
    <col min="5392" max="5638" width="8.7265625" style="1"/>
    <col min="5639" max="5639" width="33.1796875" style="1" customWidth="1"/>
    <col min="5640" max="5640" width="9.1796875" style="1" bestFit="1" customWidth="1"/>
    <col min="5641" max="5641" width="12.7265625" style="1" bestFit="1" customWidth="1"/>
    <col min="5642" max="5642" width="11.7265625" style="1" customWidth="1"/>
    <col min="5643" max="5643" width="29.54296875" style="1" customWidth="1"/>
    <col min="5644" max="5644" width="16.453125" style="1" customWidth="1"/>
    <col min="5645" max="5645" width="16.453125" style="1" bestFit="1" customWidth="1"/>
    <col min="5646" max="5646" width="17.1796875" style="1" bestFit="1" customWidth="1"/>
    <col min="5647" max="5647" width="9.54296875" style="1" customWidth="1"/>
    <col min="5648" max="5894" width="8.7265625" style="1"/>
    <col min="5895" max="5895" width="33.1796875" style="1" customWidth="1"/>
    <col min="5896" max="5896" width="9.1796875" style="1" bestFit="1" customWidth="1"/>
    <col min="5897" max="5897" width="12.7265625" style="1" bestFit="1" customWidth="1"/>
    <col min="5898" max="5898" width="11.7265625" style="1" customWidth="1"/>
    <col min="5899" max="5899" width="29.54296875" style="1" customWidth="1"/>
    <col min="5900" max="5900" width="16.453125" style="1" customWidth="1"/>
    <col min="5901" max="5901" width="16.453125" style="1" bestFit="1" customWidth="1"/>
    <col min="5902" max="5902" width="17.1796875" style="1" bestFit="1" customWidth="1"/>
    <col min="5903" max="5903" width="9.54296875" style="1" customWidth="1"/>
    <col min="5904" max="6150" width="8.7265625" style="1"/>
    <col min="6151" max="6151" width="33.1796875" style="1" customWidth="1"/>
    <col min="6152" max="6152" width="9.1796875" style="1" bestFit="1" customWidth="1"/>
    <col min="6153" max="6153" width="12.7265625" style="1" bestFit="1" customWidth="1"/>
    <col min="6154" max="6154" width="11.7265625" style="1" customWidth="1"/>
    <col min="6155" max="6155" width="29.54296875" style="1" customWidth="1"/>
    <col min="6156" max="6156" width="16.453125" style="1" customWidth="1"/>
    <col min="6157" max="6157" width="16.453125" style="1" bestFit="1" customWidth="1"/>
    <col min="6158" max="6158" width="17.1796875" style="1" bestFit="1" customWidth="1"/>
    <col min="6159" max="6159" width="9.54296875" style="1" customWidth="1"/>
    <col min="6160" max="6406" width="8.7265625" style="1"/>
    <col min="6407" max="6407" width="33.1796875" style="1" customWidth="1"/>
    <col min="6408" max="6408" width="9.1796875" style="1" bestFit="1" customWidth="1"/>
    <col min="6409" max="6409" width="12.7265625" style="1" bestFit="1" customWidth="1"/>
    <col min="6410" max="6410" width="11.7265625" style="1" customWidth="1"/>
    <col min="6411" max="6411" width="29.54296875" style="1" customWidth="1"/>
    <col min="6412" max="6412" width="16.453125" style="1" customWidth="1"/>
    <col min="6413" max="6413" width="16.453125" style="1" bestFit="1" customWidth="1"/>
    <col min="6414" max="6414" width="17.1796875" style="1" bestFit="1" customWidth="1"/>
    <col min="6415" max="6415" width="9.54296875" style="1" customWidth="1"/>
    <col min="6416" max="6662" width="8.7265625" style="1"/>
    <col min="6663" max="6663" width="33.1796875" style="1" customWidth="1"/>
    <col min="6664" max="6664" width="9.1796875" style="1" bestFit="1" customWidth="1"/>
    <col min="6665" max="6665" width="12.7265625" style="1" bestFit="1" customWidth="1"/>
    <col min="6666" max="6666" width="11.7265625" style="1" customWidth="1"/>
    <col min="6667" max="6667" width="29.54296875" style="1" customWidth="1"/>
    <col min="6668" max="6668" width="16.453125" style="1" customWidth="1"/>
    <col min="6669" max="6669" width="16.453125" style="1" bestFit="1" customWidth="1"/>
    <col min="6670" max="6670" width="17.1796875" style="1" bestFit="1" customWidth="1"/>
    <col min="6671" max="6671" width="9.54296875" style="1" customWidth="1"/>
    <col min="6672" max="6918" width="8.7265625" style="1"/>
    <col min="6919" max="6919" width="33.1796875" style="1" customWidth="1"/>
    <col min="6920" max="6920" width="9.1796875" style="1" bestFit="1" customWidth="1"/>
    <col min="6921" max="6921" width="12.7265625" style="1" bestFit="1" customWidth="1"/>
    <col min="6922" max="6922" width="11.7265625" style="1" customWidth="1"/>
    <col min="6923" max="6923" width="29.54296875" style="1" customWidth="1"/>
    <col min="6924" max="6924" width="16.453125" style="1" customWidth="1"/>
    <col min="6925" max="6925" width="16.453125" style="1" bestFit="1" customWidth="1"/>
    <col min="6926" max="6926" width="17.1796875" style="1" bestFit="1" customWidth="1"/>
    <col min="6927" max="6927" width="9.54296875" style="1" customWidth="1"/>
    <col min="6928" max="7174" width="8.7265625" style="1"/>
    <col min="7175" max="7175" width="33.1796875" style="1" customWidth="1"/>
    <col min="7176" max="7176" width="9.1796875" style="1" bestFit="1" customWidth="1"/>
    <col min="7177" max="7177" width="12.7265625" style="1" bestFit="1" customWidth="1"/>
    <col min="7178" max="7178" width="11.7265625" style="1" customWidth="1"/>
    <col min="7179" max="7179" width="29.54296875" style="1" customWidth="1"/>
    <col min="7180" max="7180" width="16.453125" style="1" customWidth="1"/>
    <col min="7181" max="7181" width="16.453125" style="1" bestFit="1" customWidth="1"/>
    <col min="7182" max="7182" width="17.1796875" style="1" bestFit="1" customWidth="1"/>
    <col min="7183" max="7183" width="9.54296875" style="1" customWidth="1"/>
    <col min="7184" max="7430" width="8.7265625" style="1"/>
    <col min="7431" max="7431" width="33.1796875" style="1" customWidth="1"/>
    <col min="7432" max="7432" width="9.1796875" style="1" bestFit="1" customWidth="1"/>
    <col min="7433" max="7433" width="12.7265625" style="1" bestFit="1" customWidth="1"/>
    <col min="7434" max="7434" width="11.7265625" style="1" customWidth="1"/>
    <col min="7435" max="7435" width="29.54296875" style="1" customWidth="1"/>
    <col min="7436" max="7436" width="16.453125" style="1" customWidth="1"/>
    <col min="7437" max="7437" width="16.453125" style="1" bestFit="1" customWidth="1"/>
    <col min="7438" max="7438" width="17.1796875" style="1" bestFit="1" customWidth="1"/>
    <col min="7439" max="7439" width="9.54296875" style="1" customWidth="1"/>
    <col min="7440" max="7686" width="8.7265625" style="1"/>
    <col min="7687" max="7687" width="33.1796875" style="1" customWidth="1"/>
    <col min="7688" max="7688" width="9.1796875" style="1" bestFit="1" customWidth="1"/>
    <col min="7689" max="7689" width="12.7265625" style="1" bestFit="1" customWidth="1"/>
    <col min="7690" max="7690" width="11.7265625" style="1" customWidth="1"/>
    <col min="7691" max="7691" width="29.54296875" style="1" customWidth="1"/>
    <col min="7692" max="7692" width="16.453125" style="1" customWidth="1"/>
    <col min="7693" max="7693" width="16.453125" style="1" bestFit="1" customWidth="1"/>
    <col min="7694" max="7694" width="17.1796875" style="1" bestFit="1" customWidth="1"/>
    <col min="7695" max="7695" width="9.54296875" style="1" customWidth="1"/>
    <col min="7696" max="7942" width="8.7265625" style="1"/>
    <col min="7943" max="7943" width="33.1796875" style="1" customWidth="1"/>
    <col min="7944" max="7944" width="9.1796875" style="1" bestFit="1" customWidth="1"/>
    <col min="7945" max="7945" width="12.7265625" style="1" bestFit="1" customWidth="1"/>
    <col min="7946" max="7946" width="11.7265625" style="1" customWidth="1"/>
    <col min="7947" max="7947" width="29.54296875" style="1" customWidth="1"/>
    <col min="7948" max="7948" width="16.453125" style="1" customWidth="1"/>
    <col min="7949" max="7949" width="16.453125" style="1" bestFit="1" customWidth="1"/>
    <col min="7950" max="7950" width="17.1796875" style="1" bestFit="1" customWidth="1"/>
    <col min="7951" max="7951" width="9.54296875" style="1" customWidth="1"/>
    <col min="7952" max="8198" width="8.7265625" style="1"/>
    <col min="8199" max="8199" width="33.1796875" style="1" customWidth="1"/>
    <col min="8200" max="8200" width="9.1796875" style="1" bestFit="1" customWidth="1"/>
    <col min="8201" max="8201" width="12.7265625" style="1" bestFit="1" customWidth="1"/>
    <col min="8202" max="8202" width="11.7265625" style="1" customWidth="1"/>
    <col min="8203" max="8203" width="29.54296875" style="1" customWidth="1"/>
    <col min="8204" max="8204" width="16.453125" style="1" customWidth="1"/>
    <col min="8205" max="8205" width="16.453125" style="1" bestFit="1" customWidth="1"/>
    <col min="8206" max="8206" width="17.1796875" style="1" bestFit="1" customWidth="1"/>
    <col min="8207" max="8207" width="9.54296875" style="1" customWidth="1"/>
    <col min="8208" max="8454" width="8.7265625" style="1"/>
    <col min="8455" max="8455" width="33.1796875" style="1" customWidth="1"/>
    <col min="8456" max="8456" width="9.1796875" style="1" bestFit="1" customWidth="1"/>
    <col min="8457" max="8457" width="12.7265625" style="1" bestFit="1" customWidth="1"/>
    <col min="8458" max="8458" width="11.7265625" style="1" customWidth="1"/>
    <col min="8459" max="8459" width="29.54296875" style="1" customWidth="1"/>
    <col min="8460" max="8460" width="16.453125" style="1" customWidth="1"/>
    <col min="8461" max="8461" width="16.453125" style="1" bestFit="1" customWidth="1"/>
    <col min="8462" max="8462" width="17.1796875" style="1" bestFit="1" customWidth="1"/>
    <col min="8463" max="8463" width="9.54296875" style="1" customWidth="1"/>
    <col min="8464" max="8710" width="8.7265625" style="1"/>
    <col min="8711" max="8711" width="33.1796875" style="1" customWidth="1"/>
    <col min="8712" max="8712" width="9.1796875" style="1" bestFit="1" customWidth="1"/>
    <col min="8713" max="8713" width="12.7265625" style="1" bestFit="1" customWidth="1"/>
    <col min="8714" max="8714" width="11.7265625" style="1" customWidth="1"/>
    <col min="8715" max="8715" width="29.54296875" style="1" customWidth="1"/>
    <col min="8716" max="8716" width="16.453125" style="1" customWidth="1"/>
    <col min="8717" max="8717" width="16.453125" style="1" bestFit="1" customWidth="1"/>
    <col min="8718" max="8718" width="17.1796875" style="1" bestFit="1" customWidth="1"/>
    <col min="8719" max="8719" width="9.54296875" style="1" customWidth="1"/>
    <col min="8720" max="8966" width="8.7265625" style="1"/>
    <col min="8967" max="8967" width="33.1796875" style="1" customWidth="1"/>
    <col min="8968" max="8968" width="9.1796875" style="1" bestFit="1" customWidth="1"/>
    <col min="8969" max="8969" width="12.7265625" style="1" bestFit="1" customWidth="1"/>
    <col min="8970" max="8970" width="11.7265625" style="1" customWidth="1"/>
    <col min="8971" max="8971" width="29.54296875" style="1" customWidth="1"/>
    <col min="8972" max="8972" width="16.453125" style="1" customWidth="1"/>
    <col min="8973" max="8973" width="16.453125" style="1" bestFit="1" customWidth="1"/>
    <col min="8974" max="8974" width="17.1796875" style="1" bestFit="1" customWidth="1"/>
    <col min="8975" max="8975" width="9.54296875" style="1" customWidth="1"/>
    <col min="8976" max="9222" width="8.7265625" style="1"/>
    <col min="9223" max="9223" width="33.1796875" style="1" customWidth="1"/>
    <col min="9224" max="9224" width="9.1796875" style="1" bestFit="1" customWidth="1"/>
    <col min="9225" max="9225" width="12.7265625" style="1" bestFit="1" customWidth="1"/>
    <col min="9226" max="9226" width="11.7265625" style="1" customWidth="1"/>
    <col min="9227" max="9227" width="29.54296875" style="1" customWidth="1"/>
    <col min="9228" max="9228" width="16.453125" style="1" customWidth="1"/>
    <col min="9229" max="9229" width="16.453125" style="1" bestFit="1" customWidth="1"/>
    <col min="9230" max="9230" width="17.1796875" style="1" bestFit="1" customWidth="1"/>
    <col min="9231" max="9231" width="9.54296875" style="1" customWidth="1"/>
    <col min="9232" max="9478" width="8.7265625" style="1"/>
    <col min="9479" max="9479" width="33.1796875" style="1" customWidth="1"/>
    <col min="9480" max="9480" width="9.1796875" style="1" bestFit="1" customWidth="1"/>
    <col min="9481" max="9481" width="12.7265625" style="1" bestFit="1" customWidth="1"/>
    <col min="9482" max="9482" width="11.7265625" style="1" customWidth="1"/>
    <col min="9483" max="9483" width="29.54296875" style="1" customWidth="1"/>
    <col min="9484" max="9484" width="16.453125" style="1" customWidth="1"/>
    <col min="9485" max="9485" width="16.453125" style="1" bestFit="1" customWidth="1"/>
    <col min="9486" max="9486" width="17.1796875" style="1" bestFit="1" customWidth="1"/>
    <col min="9487" max="9487" width="9.54296875" style="1" customWidth="1"/>
    <col min="9488" max="9734" width="8.7265625" style="1"/>
    <col min="9735" max="9735" width="33.1796875" style="1" customWidth="1"/>
    <col min="9736" max="9736" width="9.1796875" style="1" bestFit="1" customWidth="1"/>
    <col min="9737" max="9737" width="12.7265625" style="1" bestFit="1" customWidth="1"/>
    <col min="9738" max="9738" width="11.7265625" style="1" customWidth="1"/>
    <col min="9739" max="9739" width="29.54296875" style="1" customWidth="1"/>
    <col min="9740" max="9740" width="16.453125" style="1" customWidth="1"/>
    <col min="9741" max="9741" width="16.453125" style="1" bestFit="1" customWidth="1"/>
    <col min="9742" max="9742" width="17.1796875" style="1" bestFit="1" customWidth="1"/>
    <col min="9743" max="9743" width="9.54296875" style="1" customWidth="1"/>
    <col min="9744" max="9990" width="8.7265625" style="1"/>
    <col min="9991" max="9991" width="33.1796875" style="1" customWidth="1"/>
    <col min="9992" max="9992" width="9.1796875" style="1" bestFit="1" customWidth="1"/>
    <col min="9993" max="9993" width="12.7265625" style="1" bestFit="1" customWidth="1"/>
    <col min="9994" max="9994" width="11.7265625" style="1" customWidth="1"/>
    <col min="9995" max="9995" width="29.54296875" style="1" customWidth="1"/>
    <col min="9996" max="9996" width="16.453125" style="1" customWidth="1"/>
    <col min="9997" max="9997" width="16.453125" style="1" bestFit="1" customWidth="1"/>
    <col min="9998" max="9998" width="17.1796875" style="1" bestFit="1" customWidth="1"/>
    <col min="9999" max="9999" width="9.54296875" style="1" customWidth="1"/>
    <col min="10000" max="10246" width="8.7265625" style="1"/>
    <col min="10247" max="10247" width="33.1796875" style="1" customWidth="1"/>
    <col min="10248" max="10248" width="9.1796875" style="1" bestFit="1" customWidth="1"/>
    <col min="10249" max="10249" width="12.7265625" style="1" bestFit="1" customWidth="1"/>
    <col min="10250" max="10250" width="11.7265625" style="1" customWidth="1"/>
    <col min="10251" max="10251" width="29.54296875" style="1" customWidth="1"/>
    <col min="10252" max="10252" width="16.453125" style="1" customWidth="1"/>
    <col min="10253" max="10253" width="16.453125" style="1" bestFit="1" customWidth="1"/>
    <col min="10254" max="10254" width="17.1796875" style="1" bestFit="1" customWidth="1"/>
    <col min="10255" max="10255" width="9.54296875" style="1" customWidth="1"/>
    <col min="10256" max="10502" width="8.7265625" style="1"/>
    <col min="10503" max="10503" width="33.1796875" style="1" customWidth="1"/>
    <col min="10504" max="10504" width="9.1796875" style="1" bestFit="1" customWidth="1"/>
    <col min="10505" max="10505" width="12.7265625" style="1" bestFit="1" customWidth="1"/>
    <col min="10506" max="10506" width="11.7265625" style="1" customWidth="1"/>
    <col min="10507" max="10507" width="29.54296875" style="1" customWidth="1"/>
    <col min="10508" max="10508" width="16.453125" style="1" customWidth="1"/>
    <col min="10509" max="10509" width="16.453125" style="1" bestFit="1" customWidth="1"/>
    <col min="10510" max="10510" width="17.1796875" style="1" bestFit="1" customWidth="1"/>
    <col min="10511" max="10511" width="9.54296875" style="1" customWidth="1"/>
    <col min="10512" max="10758" width="8.7265625" style="1"/>
    <col min="10759" max="10759" width="33.1796875" style="1" customWidth="1"/>
    <col min="10760" max="10760" width="9.1796875" style="1" bestFit="1" customWidth="1"/>
    <col min="10761" max="10761" width="12.7265625" style="1" bestFit="1" customWidth="1"/>
    <col min="10762" max="10762" width="11.7265625" style="1" customWidth="1"/>
    <col min="10763" max="10763" width="29.54296875" style="1" customWidth="1"/>
    <col min="10764" max="10764" width="16.453125" style="1" customWidth="1"/>
    <col min="10765" max="10765" width="16.453125" style="1" bestFit="1" customWidth="1"/>
    <col min="10766" max="10766" width="17.1796875" style="1" bestFit="1" customWidth="1"/>
    <col min="10767" max="10767" width="9.54296875" style="1" customWidth="1"/>
    <col min="10768" max="11014" width="8.7265625" style="1"/>
    <col min="11015" max="11015" width="33.1796875" style="1" customWidth="1"/>
    <col min="11016" max="11016" width="9.1796875" style="1" bestFit="1" customWidth="1"/>
    <col min="11017" max="11017" width="12.7265625" style="1" bestFit="1" customWidth="1"/>
    <col min="11018" max="11018" width="11.7265625" style="1" customWidth="1"/>
    <col min="11019" max="11019" width="29.54296875" style="1" customWidth="1"/>
    <col min="11020" max="11020" width="16.453125" style="1" customWidth="1"/>
    <col min="11021" max="11021" width="16.453125" style="1" bestFit="1" customWidth="1"/>
    <col min="11022" max="11022" width="17.1796875" style="1" bestFit="1" customWidth="1"/>
    <col min="11023" max="11023" width="9.54296875" style="1" customWidth="1"/>
    <col min="11024" max="11270" width="8.7265625" style="1"/>
    <col min="11271" max="11271" width="33.1796875" style="1" customWidth="1"/>
    <col min="11272" max="11272" width="9.1796875" style="1" bestFit="1" customWidth="1"/>
    <col min="11273" max="11273" width="12.7265625" style="1" bestFit="1" customWidth="1"/>
    <col min="11274" max="11274" width="11.7265625" style="1" customWidth="1"/>
    <col min="11275" max="11275" width="29.54296875" style="1" customWidth="1"/>
    <col min="11276" max="11276" width="16.453125" style="1" customWidth="1"/>
    <col min="11277" max="11277" width="16.453125" style="1" bestFit="1" customWidth="1"/>
    <col min="11278" max="11278" width="17.1796875" style="1" bestFit="1" customWidth="1"/>
    <col min="11279" max="11279" width="9.54296875" style="1" customWidth="1"/>
    <col min="11280" max="11526" width="8.7265625" style="1"/>
    <col min="11527" max="11527" width="33.1796875" style="1" customWidth="1"/>
    <col min="11528" max="11528" width="9.1796875" style="1" bestFit="1" customWidth="1"/>
    <col min="11529" max="11529" width="12.7265625" style="1" bestFit="1" customWidth="1"/>
    <col min="11530" max="11530" width="11.7265625" style="1" customWidth="1"/>
    <col min="11531" max="11531" width="29.54296875" style="1" customWidth="1"/>
    <col min="11532" max="11532" width="16.453125" style="1" customWidth="1"/>
    <col min="11533" max="11533" width="16.453125" style="1" bestFit="1" customWidth="1"/>
    <col min="11534" max="11534" width="17.1796875" style="1" bestFit="1" customWidth="1"/>
    <col min="11535" max="11535" width="9.54296875" style="1" customWidth="1"/>
    <col min="11536" max="11782" width="8.7265625" style="1"/>
    <col min="11783" max="11783" width="33.1796875" style="1" customWidth="1"/>
    <col min="11784" max="11784" width="9.1796875" style="1" bestFit="1" customWidth="1"/>
    <col min="11785" max="11785" width="12.7265625" style="1" bestFit="1" customWidth="1"/>
    <col min="11786" max="11786" width="11.7265625" style="1" customWidth="1"/>
    <col min="11787" max="11787" width="29.54296875" style="1" customWidth="1"/>
    <col min="11788" max="11788" width="16.453125" style="1" customWidth="1"/>
    <col min="11789" max="11789" width="16.453125" style="1" bestFit="1" customWidth="1"/>
    <col min="11790" max="11790" width="17.1796875" style="1" bestFit="1" customWidth="1"/>
    <col min="11791" max="11791" width="9.54296875" style="1" customWidth="1"/>
    <col min="11792" max="12038" width="8.7265625" style="1"/>
    <col min="12039" max="12039" width="33.1796875" style="1" customWidth="1"/>
    <col min="12040" max="12040" width="9.1796875" style="1" bestFit="1" customWidth="1"/>
    <col min="12041" max="12041" width="12.7265625" style="1" bestFit="1" customWidth="1"/>
    <col min="12042" max="12042" width="11.7265625" style="1" customWidth="1"/>
    <col min="12043" max="12043" width="29.54296875" style="1" customWidth="1"/>
    <col min="12044" max="12044" width="16.453125" style="1" customWidth="1"/>
    <col min="12045" max="12045" width="16.453125" style="1" bestFit="1" customWidth="1"/>
    <col min="12046" max="12046" width="17.1796875" style="1" bestFit="1" customWidth="1"/>
    <col min="12047" max="12047" width="9.54296875" style="1" customWidth="1"/>
    <col min="12048" max="12294" width="8.7265625" style="1"/>
    <col min="12295" max="12295" width="33.1796875" style="1" customWidth="1"/>
    <col min="12296" max="12296" width="9.1796875" style="1" bestFit="1" customWidth="1"/>
    <col min="12297" max="12297" width="12.7265625" style="1" bestFit="1" customWidth="1"/>
    <col min="12298" max="12298" width="11.7265625" style="1" customWidth="1"/>
    <col min="12299" max="12299" width="29.54296875" style="1" customWidth="1"/>
    <col min="12300" max="12300" width="16.453125" style="1" customWidth="1"/>
    <col min="12301" max="12301" width="16.453125" style="1" bestFit="1" customWidth="1"/>
    <col min="12302" max="12302" width="17.1796875" style="1" bestFit="1" customWidth="1"/>
    <col min="12303" max="12303" width="9.54296875" style="1" customWidth="1"/>
    <col min="12304" max="12550" width="8.7265625" style="1"/>
    <col min="12551" max="12551" width="33.1796875" style="1" customWidth="1"/>
    <col min="12552" max="12552" width="9.1796875" style="1" bestFit="1" customWidth="1"/>
    <col min="12553" max="12553" width="12.7265625" style="1" bestFit="1" customWidth="1"/>
    <col min="12554" max="12554" width="11.7265625" style="1" customWidth="1"/>
    <col min="12555" max="12555" width="29.54296875" style="1" customWidth="1"/>
    <col min="12556" max="12556" width="16.453125" style="1" customWidth="1"/>
    <col min="12557" max="12557" width="16.453125" style="1" bestFit="1" customWidth="1"/>
    <col min="12558" max="12558" width="17.1796875" style="1" bestFit="1" customWidth="1"/>
    <col min="12559" max="12559" width="9.54296875" style="1" customWidth="1"/>
    <col min="12560" max="12806" width="8.7265625" style="1"/>
    <col min="12807" max="12807" width="33.1796875" style="1" customWidth="1"/>
    <col min="12808" max="12808" width="9.1796875" style="1" bestFit="1" customWidth="1"/>
    <col min="12809" max="12809" width="12.7265625" style="1" bestFit="1" customWidth="1"/>
    <col min="12810" max="12810" width="11.7265625" style="1" customWidth="1"/>
    <col min="12811" max="12811" width="29.54296875" style="1" customWidth="1"/>
    <col min="12812" max="12812" width="16.453125" style="1" customWidth="1"/>
    <col min="12813" max="12813" width="16.453125" style="1" bestFit="1" customWidth="1"/>
    <col min="12814" max="12814" width="17.1796875" style="1" bestFit="1" customWidth="1"/>
    <col min="12815" max="12815" width="9.54296875" style="1" customWidth="1"/>
    <col min="12816" max="13062" width="8.7265625" style="1"/>
    <col min="13063" max="13063" width="33.1796875" style="1" customWidth="1"/>
    <col min="13064" max="13064" width="9.1796875" style="1" bestFit="1" customWidth="1"/>
    <col min="13065" max="13065" width="12.7265625" style="1" bestFit="1" customWidth="1"/>
    <col min="13066" max="13066" width="11.7265625" style="1" customWidth="1"/>
    <col min="13067" max="13067" width="29.54296875" style="1" customWidth="1"/>
    <col min="13068" max="13068" width="16.453125" style="1" customWidth="1"/>
    <col min="13069" max="13069" width="16.453125" style="1" bestFit="1" customWidth="1"/>
    <col min="13070" max="13070" width="17.1796875" style="1" bestFit="1" customWidth="1"/>
    <col min="13071" max="13071" width="9.54296875" style="1" customWidth="1"/>
    <col min="13072" max="13318" width="8.7265625" style="1"/>
    <col min="13319" max="13319" width="33.1796875" style="1" customWidth="1"/>
    <col min="13320" max="13320" width="9.1796875" style="1" bestFit="1" customWidth="1"/>
    <col min="13321" max="13321" width="12.7265625" style="1" bestFit="1" customWidth="1"/>
    <col min="13322" max="13322" width="11.7265625" style="1" customWidth="1"/>
    <col min="13323" max="13323" width="29.54296875" style="1" customWidth="1"/>
    <col min="13324" max="13324" width="16.453125" style="1" customWidth="1"/>
    <col min="13325" max="13325" width="16.453125" style="1" bestFit="1" customWidth="1"/>
    <col min="13326" max="13326" width="17.1796875" style="1" bestFit="1" customWidth="1"/>
    <col min="13327" max="13327" width="9.54296875" style="1" customWidth="1"/>
    <col min="13328" max="13574" width="8.7265625" style="1"/>
    <col min="13575" max="13575" width="33.1796875" style="1" customWidth="1"/>
    <col min="13576" max="13576" width="9.1796875" style="1" bestFit="1" customWidth="1"/>
    <col min="13577" max="13577" width="12.7265625" style="1" bestFit="1" customWidth="1"/>
    <col min="13578" max="13578" width="11.7265625" style="1" customWidth="1"/>
    <col min="13579" max="13579" width="29.54296875" style="1" customWidth="1"/>
    <col min="13580" max="13580" width="16.453125" style="1" customWidth="1"/>
    <col min="13581" max="13581" width="16.453125" style="1" bestFit="1" customWidth="1"/>
    <col min="13582" max="13582" width="17.1796875" style="1" bestFit="1" customWidth="1"/>
    <col min="13583" max="13583" width="9.54296875" style="1" customWidth="1"/>
    <col min="13584" max="13830" width="8.7265625" style="1"/>
    <col min="13831" max="13831" width="33.1796875" style="1" customWidth="1"/>
    <col min="13832" max="13832" width="9.1796875" style="1" bestFit="1" customWidth="1"/>
    <col min="13833" max="13833" width="12.7265625" style="1" bestFit="1" customWidth="1"/>
    <col min="13834" max="13834" width="11.7265625" style="1" customWidth="1"/>
    <col min="13835" max="13835" width="29.54296875" style="1" customWidth="1"/>
    <col min="13836" max="13836" width="16.453125" style="1" customWidth="1"/>
    <col min="13837" max="13837" width="16.453125" style="1" bestFit="1" customWidth="1"/>
    <col min="13838" max="13838" width="17.1796875" style="1" bestFit="1" customWidth="1"/>
    <col min="13839" max="13839" width="9.54296875" style="1" customWidth="1"/>
    <col min="13840" max="14086" width="8.7265625" style="1"/>
    <col min="14087" max="14087" width="33.1796875" style="1" customWidth="1"/>
    <col min="14088" max="14088" width="9.1796875" style="1" bestFit="1" customWidth="1"/>
    <col min="14089" max="14089" width="12.7265625" style="1" bestFit="1" customWidth="1"/>
    <col min="14090" max="14090" width="11.7265625" style="1" customWidth="1"/>
    <col min="14091" max="14091" width="29.54296875" style="1" customWidth="1"/>
    <col min="14092" max="14092" width="16.453125" style="1" customWidth="1"/>
    <col min="14093" max="14093" width="16.453125" style="1" bestFit="1" customWidth="1"/>
    <col min="14094" max="14094" width="17.1796875" style="1" bestFit="1" customWidth="1"/>
    <col min="14095" max="14095" width="9.54296875" style="1" customWidth="1"/>
    <col min="14096" max="14342" width="8.7265625" style="1"/>
    <col min="14343" max="14343" width="33.1796875" style="1" customWidth="1"/>
    <col min="14344" max="14344" width="9.1796875" style="1" bestFit="1" customWidth="1"/>
    <col min="14345" max="14345" width="12.7265625" style="1" bestFit="1" customWidth="1"/>
    <col min="14346" max="14346" width="11.7265625" style="1" customWidth="1"/>
    <col min="14347" max="14347" width="29.54296875" style="1" customWidth="1"/>
    <col min="14348" max="14348" width="16.453125" style="1" customWidth="1"/>
    <col min="14349" max="14349" width="16.453125" style="1" bestFit="1" customWidth="1"/>
    <col min="14350" max="14350" width="17.1796875" style="1" bestFit="1" customWidth="1"/>
    <col min="14351" max="14351" width="9.54296875" style="1" customWidth="1"/>
    <col min="14352" max="14598" width="8.7265625" style="1"/>
    <col min="14599" max="14599" width="33.1796875" style="1" customWidth="1"/>
    <col min="14600" max="14600" width="9.1796875" style="1" bestFit="1" customWidth="1"/>
    <col min="14601" max="14601" width="12.7265625" style="1" bestFit="1" customWidth="1"/>
    <col min="14602" max="14602" width="11.7265625" style="1" customWidth="1"/>
    <col min="14603" max="14603" width="29.54296875" style="1" customWidth="1"/>
    <col min="14604" max="14604" width="16.453125" style="1" customWidth="1"/>
    <col min="14605" max="14605" width="16.453125" style="1" bestFit="1" customWidth="1"/>
    <col min="14606" max="14606" width="17.1796875" style="1" bestFit="1" customWidth="1"/>
    <col min="14607" max="14607" width="9.54296875" style="1" customWidth="1"/>
    <col min="14608" max="14854" width="8.7265625" style="1"/>
    <col min="14855" max="14855" width="33.1796875" style="1" customWidth="1"/>
    <col min="14856" max="14856" width="9.1796875" style="1" bestFit="1" customWidth="1"/>
    <col min="14857" max="14857" width="12.7265625" style="1" bestFit="1" customWidth="1"/>
    <col min="14858" max="14858" width="11.7265625" style="1" customWidth="1"/>
    <col min="14859" max="14859" width="29.54296875" style="1" customWidth="1"/>
    <col min="14860" max="14860" width="16.453125" style="1" customWidth="1"/>
    <col min="14861" max="14861" width="16.453125" style="1" bestFit="1" customWidth="1"/>
    <col min="14862" max="14862" width="17.1796875" style="1" bestFit="1" customWidth="1"/>
    <col min="14863" max="14863" width="9.54296875" style="1" customWidth="1"/>
    <col min="14864" max="15110" width="8.7265625" style="1"/>
    <col min="15111" max="15111" width="33.1796875" style="1" customWidth="1"/>
    <col min="15112" max="15112" width="9.1796875" style="1" bestFit="1" customWidth="1"/>
    <col min="15113" max="15113" width="12.7265625" style="1" bestFit="1" customWidth="1"/>
    <col min="15114" max="15114" width="11.7265625" style="1" customWidth="1"/>
    <col min="15115" max="15115" width="29.54296875" style="1" customWidth="1"/>
    <col min="15116" max="15116" width="16.453125" style="1" customWidth="1"/>
    <col min="15117" max="15117" width="16.453125" style="1" bestFit="1" customWidth="1"/>
    <col min="15118" max="15118" width="17.1796875" style="1" bestFit="1" customWidth="1"/>
    <col min="15119" max="15119" width="9.54296875" style="1" customWidth="1"/>
    <col min="15120" max="15366" width="8.7265625" style="1"/>
    <col min="15367" max="15367" width="33.1796875" style="1" customWidth="1"/>
    <col min="15368" max="15368" width="9.1796875" style="1" bestFit="1" customWidth="1"/>
    <col min="15369" max="15369" width="12.7265625" style="1" bestFit="1" customWidth="1"/>
    <col min="15370" max="15370" width="11.7265625" style="1" customWidth="1"/>
    <col min="15371" max="15371" width="29.54296875" style="1" customWidth="1"/>
    <col min="15372" max="15372" width="16.453125" style="1" customWidth="1"/>
    <col min="15373" max="15373" width="16.453125" style="1" bestFit="1" customWidth="1"/>
    <col min="15374" max="15374" width="17.1796875" style="1" bestFit="1" customWidth="1"/>
    <col min="15375" max="15375" width="9.54296875" style="1" customWidth="1"/>
    <col min="15376" max="15622" width="8.7265625" style="1"/>
    <col min="15623" max="15623" width="33.1796875" style="1" customWidth="1"/>
    <col min="15624" max="15624" width="9.1796875" style="1" bestFit="1" customWidth="1"/>
    <col min="15625" max="15625" width="12.7265625" style="1" bestFit="1" customWidth="1"/>
    <col min="15626" max="15626" width="11.7265625" style="1" customWidth="1"/>
    <col min="15627" max="15627" width="29.54296875" style="1" customWidth="1"/>
    <col min="15628" max="15628" width="16.453125" style="1" customWidth="1"/>
    <col min="15629" max="15629" width="16.453125" style="1" bestFit="1" customWidth="1"/>
    <col min="15630" max="15630" width="17.1796875" style="1" bestFit="1" customWidth="1"/>
    <col min="15631" max="15631" width="9.54296875" style="1" customWidth="1"/>
    <col min="15632" max="15878" width="8.7265625" style="1"/>
    <col min="15879" max="15879" width="33.1796875" style="1" customWidth="1"/>
    <col min="15880" max="15880" width="9.1796875" style="1" bestFit="1" customWidth="1"/>
    <col min="15881" max="15881" width="12.7265625" style="1" bestFit="1" customWidth="1"/>
    <col min="15882" max="15882" width="11.7265625" style="1" customWidth="1"/>
    <col min="15883" max="15883" width="29.54296875" style="1" customWidth="1"/>
    <col min="15884" max="15884" width="16.453125" style="1" customWidth="1"/>
    <col min="15885" max="15885" width="16.453125" style="1" bestFit="1" customWidth="1"/>
    <col min="15886" max="15886" width="17.1796875" style="1" bestFit="1" customWidth="1"/>
    <col min="15887" max="15887" width="9.54296875" style="1" customWidth="1"/>
    <col min="15888" max="16134" width="8.7265625" style="1"/>
    <col min="16135" max="16135" width="33.1796875" style="1" customWidth="1"/>
    <col min="16136" max="16136" width="9.1796875" style="1" bestFit="1" customWidth="1"/>
    <col min="16137" max="16137" width="12.7265625" style="1" bestFit="1" customWidth="1"/>
    <col min="16138" max="16138" width="11.7265625" style="1" customWidth="1"/>
    <col min="16139" max="16139" width="29.54296875" style="1" customWidth="1"/>
    <col min="16140" max="16140" width="16.453125" style="1" customWidth="1"/>
    <col min="16141" max="16141" width="16.453125" style="1" bestFit="1" customWidth="1"/>
    <col min="16142" max="16142" width="17.1796875" style="1" bestFit="1" customWidth="1"/>
    <col min="16143" max="16143" width="9.54296875" style="1" customWidth="1"/>
    <col min="16144" max="16384" width="8.7265625" style="1"/>
  </cols>
  <sheetData>
    <row r="1" spans="1:17" x14ac:dyDescent="0.25">
      <c r="A1" s="115"/>
    </row>
    <row r="2" spans="1:17" ht="15" customHeight="1" x14ac:dyDescent="0.3">
      <c r="A2" s="116" t="s">
        <v>165</v>
      </c>
      <c r="B2" s="60"/>
      <c r="C2" s="60"/>
      <c r="D2" s="60"/>
      <c r="E2" s="60"/>
      <c r="F2" s="60"/>
      <c r="G2" s="60" t="s">
        <v>167</v>
      </c>
      <c r="H2" s="60"/>
      <c r="I2" s="60"/>
      <c r="J2" s="60"/>
      <c r="K2" s="60"/>
    </row>
    <row r="3" spans="1:17" ht="13" x14ac:dyDescent="0.3">
      <c r="A3" s="115"/>
      <c r="C3" s="2"/>
      <c r="D3" s="2"/>
    </row>
    <row r="4" spans="1:17" ht="52" x14ac:dyDescent="0.3">
      <c r="A4" s="117" t="s">
        <v>200</v>
      </c>
      <c r="C4" s="4"/>
      <c r="D4" s="4"/>
      <c r="G4" s="80" t="s">
        <v>206</v>
      </c>
      <c r="H4" s="79" t="s">
        <v>169</v>
      </c>
      <c r="I4" s="79" t="s">
        <v>170</v>
      </c>
      <c r="J4" s="79" t="s">
        <v>171</v>
      </c>
      <c r="K4" s="79" t="s">
        <v>172</v>
      </c>
      <c r="L4" s="79" t="s">
        <v>173</v>
      </c>
      <c r="M4" s="79" t="s">
        <v>174</v>
      </c>
      <c r="N4" s="79" t="s">
        <v>215</v>
      </c>
      <c r="O4" s="79" t="s">
        <v>176</v>
      </c>
      <c r="P4" s="79" t="s">
        <v>216</v>
      </c>
      <c r="Q4" s="79" t="s">
        <v>217</v>
      </c>
    </row>
    <row r="5" spans="1:17" ht="15.75" customHeight="1" x14ac:dyDescent="0.25">
      <c r="A5" s="115" t="s">
        <v>84</v>
      </c>
      <c r="G5" s="1">
        <v>101</v>
      </c>
      <c r="H5" s="1">
        <v>1743</v>
      </c>
      <c r="I5" s="1">
        <v>60</v>
      </c>
      <c r="J5" s="1">
        <v>6213</v>
      </c>
      <c r="K5" s="1">
        <v>1050</v>
      </c>
      <c r="L5" s="1">
        <v>360</v>
      </c>
      <c r="M5" s="1">
        <f>13*I5</f>
        <v>780</v>
      </c>
      <c r="N5" s="1">
        <v>828</v>
      </c>
      <c r="O5" s="1">
        <v>180</v>
      </c>
      <c r="P5" s="1">
        <v>3500</v>
      </c>
      <c r="Q5" s="1">
        <f>J5+K5+L5+M5</f>
        <v>8403</v>
      </c>
    </row>
    <row r="6" spans="1:17" ht="15.75" customHeight="1" x14ac:dyDescent="0.25">
      <c r="A6" s="115" t="s">
        <v>85</v>
      </c>
      <c r="B6" s="1" t="s">
        <v>89</v>
      </c>
      <c r="G6" s="1">
        <v>102</v>
      </c>
      <c r="H6" s="1">
        <v>1692</v>
      </c>
      <c r="I6" s="1">
        <v>60</v>
      </c>
      <c r="J6" s="1">
        <v>6301</v>
      </c>
      <c r="K6" s="1">
        <v>1050</v>
      </c>
      <c r="L6" s="1">
        <v>360</v>
      </c>
      <c r="M6" s="1">
        <f t="shared" ref="M6:M7" si="0">13*I6</f>
        <v>780</v>
      </c>
      <c r="N6" s="1">
        <v>828</v>
      </c>
      <c r="O6" s="1">
        <v>180</v>
      </c>
      <c r="P6" s="1">
        <v>3500</v>
      </c>
      <c r="Q6" s="1">
        <f t="shared" ref="Q6:Q7" si="1">J6+K6+L6+M6</f>
        <v>8491</v>
      </c>
    </row>
    <row r="7" spans="1:17" ht="15.75" customHeight="1" x14ac:dyDescent="0.25">
      <c r="A7" s="115" t="s">
        <v>86</v>
      </c>
      <c r="B7" s="1" t="s">
        <v>4</v>
      </c>
      <c r="G7" s="1">
        <v>103</v>
      </c>
      <c r="H7" s="1">
        <v>1592</v>
      </c>
      <c r="I7" s="1">
        <v>60</v>
      </c>
      <c r="J7" s="1">
        <v>6492</v>
      </c>
      <c r="K7" s="1">
        <v>1050</v>
      </c>
      <c r="L7" s="1">
        <v>360</v>
      </c>
      <c r="M7" s="1">
        <f t="shared" si="0"/>
        <v>780</v>
      </c>
      <c r="N7" s="1">
        <v>828</v>
      </c>
      <c r="O7" s="1">
        <v>180</v>
      </c>
      <c r="P7" s="1">
        <v>3500</v>
      </c>
      <c r="Q7" s="1">
        <f t="shared" si="1"/>
        <v>8682</v>
      </c>
    </row>
    <row r="8" spans="1:17" ht="15.75" customHeight="1" x14ac:dyDescent="0.25">
      <c r="A8" s="115" t="s">
        <v>87</v>
      </c>
      <c r="B8" s="1">
        <v>6416</v>
      </c>
      <c r="G8" s="78">
        <v>104</v>
      </c>
      <c r="H8" s="78">
        <v>970</v>
      </c>
      <c r="I8" s="78"/>
      <c r="J8" s="78"/>
      <c r="K8" s="78"/>
      <c r="L8" s="78"/>
      <c r="M8" s="78"/>
      <c r="N8" s="78"/>
      <c r="O8" s="78"/>
      <c r="P8" s="78"/>
      <c r="Q8" s="78"/>
    </row>
    <row r="9" spans="1:17" ht="15.75" customHeight="1" x14ac:dyDescent="0.3">
      <c r="A9" s="115" t="s">
        <v>88</v>
      </c>
      <c r="B9" s="1" t="s">
        <v>5</v>
      </c>
      <c r="G9" s="77"/>
      <c r="H9" s="77">
        <f>SUM(H5:H8)</f>
        <v>5997</v>
      </c>
      <c r="I9" s="77">
        <f>SUM(I5:I8)</f>
        <v>180</v>
      </c>
      <c r="J9" s="77">
        <f>SUM(J5:J8)</f>
        <v>19006</v>
      </c>
      <c r="K9" s="77">
        <f t="shared" ref="K9:Q9" si="2">SUM(K5:K8)</f>
        <v>3150</v>
      </c>
      <c r="L9" s="77">
        <f t="shared" si="2"/>
        <v>1080</v>
      </c>
      <c r="M9" s="77">
        <f t="shared" si="2"/>
        <v>2340</v>
      </c>
      <c r="N9" s="77">
        <f t="shared" si="2"/>
        <v>2484</v>
      </c>
      <c r="O9" s="77">
        <f t="shared" si="2"/>
        <v>540</v>
      </c>
      <c r="P9" s="77">
        <f t="shared" si="2"/>
        <v>10500</v>
      </c>
      <c r="Q9" s="77">
        <f t="shared" si="2"/>
        <v>25576</v>
      </c>
    </row>
    <row r="10" spans="1:17" ht="15.75" customHeight="1" x14ac:dyDescent="0.25"/>
    <row r="11" spans="1:17" ht="15.75" customHeight="1" x14ac:dyDescent="0.25"/>
    <row r="12" spans="1:17" ht="15.75" customHeight="1" thickBot="1" x14ac:dyDescent="0.3"/>
    <row r="13" spans="1:17" s="7" customFormat="1" ht="17.25" customHeight="1" thickTop="1" x14ac:dyDescent="0.3">
      <c r="A13" s="5" t="s">
        <v>90</v>
      </c>
      <c r="B13" s="6">
        <v>5997</v>
      </c>
      <c r="D13" s="99" t="s">
        <v>207</v>
      </c>
    </row>
    <row r="14" spans="1:17" s="7" customFormat="1" ht="15" customHeight="1" x14ac:dyDescent="0.25">
      <c r="A14" s="124" t="s">
        <v>129</v>
      </c>
      <c r="B14" s="13">
        <f>H8</f>
        <v>970</v>
      </c>
      <c r="D14" s="119" t="s">
        <v>212</v>
      </c>
      <c r="E14" s="9"/>
    </row>
    <row r="15" spans="1:17" s="7" customFormat="1" ht="25.5" x14ac:dyDescent="0.3">
      <c r="A15" s="8" t="s">
        <v>92</v>
      </c>
      <c r="B15" s="13">
        <f>P9</f>
        <v>10500</v>
      </c>
      <c r="C15" s="7">
        <f>144*2+36*1</f>
        <v>324</v>
      </c>
      <c r="D15" s="118" t="s">
        <v>209</v>
      </c>
      <c r="E15" s="9"/>
      <c r="F15" s="10"/>
      <c r="L15" s="11"/>
      <c r="M15" s="11"/>
    </row>
    <row r="16" spans="1:17" s="7" customFormat="1" x14ac:dyDescent="0.25">
      <c r="A16" s="8" t="s">
        <v>91</v>
      </c>
      <c r="B16" s="13">
        <f>Q9</f>
        <v>25576</v>
      </c>
      <c r="C16" s="7">
        <f>B16/B67</f>
        <v>142.0888888888889</v>
      </c>
      <c r="D16" s="98"/>
      <c r="E16" s="12"/>
    </row>
    <row r="17" spans="1:13" s="7" customFormat="1" x14ac:dyDescent="0.25">
      <c r="A17" s="8" t="s">
        <v>93</v>
      </c>
      <c r="B17" s="13">
        <f>N9+O9</f>
        <v>3024</v>
      </c>
      <c r="C17" s="7">
        <f>B17/B67</f>
        <v>16.8</v>
      </c>
      <c r="D17" s="100"/>
      <c r="H17" s="11"/>
      <c r="I17" s="11"/>
    </row>
    <row r="18" spans="1:13" s="7" customFormat="1" ht="13" x14ac:dyDescent="0.3">
      <c r="A18" s="8" t="s">
        <v>94</v>
      </c>
      <c r="B18" s="13">
        <v>0</v>
      </c>
      <c r="D18" s="99" t="s">
        <v>218</v>
      </c>
    </row>
    <row r="19" spans="1:13" s="7" customFormat="1" ht="25" x14ac:dyDescent="0.25">
      <c r="A19" s="8" t="s">
        <v>114</v>
      </c>
      <c r="B19" s="13">
        <f>9*100</f>
        <v>900</v>
      </c>
      <c r="D19" s="118" t="s">
        <v>210</v>
      </c>
    </row>
    <row r="20" spans="1:13" s="7" customFormat="1" x14ac:dyDescent="0.25">
      <c r="A20" s="8" t="s">
        <v>95</v>
      </c>
      <c r="B20" s="13">
        <v>1500</v>
      </c>
      <c r="D20" s="61" t="s">
        <v>208</v>
      </c>
    </row>
    <row r="21" spans="1:13" s="7" customFormat="1" ht="25" x14ac:dyDescent="0.25">
      <c r="A21" s="14"/>
      <c r="B21" s="14"/>
      <c r="D21" s="118" t="s">
        <v>211</v>
      </c>
    </row>
    <row r="22" spans="1:13" s="7" customFormat="1" ht="50" x14ac:dyDescent="0.25">
      <c r="D22" s="120" t="s">
        <v>213</v>
      </c>
    </row>
    <row r="23" spans="1:13" s="15" customFormat="1" x14ac:dyDescent="0.25"/>
    <row r="24" spans="1:13" s="15" customFormat="1" ht="13" x14ac:dyDescent="0.3">
      <c r="A24" s="3"/>
      <c r="F24" s="98"/>
    </row>
    <row r="25" spans="1:13" s="15" customFormat="1" ht="13" x14ac:dyDescent="0.3">
      <c r="A25" s="3"/>
      <c r="F25" s="98"/>
    </row>
    <row r="26" spans="1:13" s="15" customFormat="1" ht="13" x14ac:dyDescent="0.3">
      <c r="A26" s="3"/>
      <c r="F26" s="98"/>
      <c r="G26" s="41"/>
    </row>
    <row r="27" spans="1:13" s="15" customFormat="1" ht="13" x14ac:dyDescent="0.3">
      <c r="A27" s="37"/>
      <c r="B27" s="37"/>
      <c r="C27" s="37"/>
      <c r="D27" s="37"/>
      <c r="M27" s="40"/>
    </row>
    <row r="28" spans="1:13" s="15" customFormat="1" ht="13" x14ac:dyDescent="0.3">
      <c r="A28" s="3"/>
      <c r="C28" s="3"/>
      <c r="D28" s="3"/>
    </row>
    <row r="29" spans="1:13" s="15" customFormat="1" ht="13" x14ac:dyDescent="0.3">
      <c r="A29" s="3" t="s">
        <v>125</v>
      </c>
      <c r="B29" s="102">
        <v>0.53</v>
      </c>
      <c r="C29" s="102">
        <v>0.47</v>
      </c>
      <c r="J29" s="41"/>
      <c r="K29" s="41"/>
    </row>
    <row r="30" spans="1:13" s="15" customFormat="1" ht="13.5" thickBot="1" x14ac:dyDescent="0.35">
      <c r="A30" s="3"/>
      <c r="J30" s="41"/>
      <c r="K30" s="41"/>
    </row>
    <row r="31" spans="1:13" s="15" customFormat="1" ht="13.5" thickTop="1" x14ac:dyDescent="0.3">
      <c r="A31" s="16" t="s">
        <v>123</v>
      </c>
      <c r="B31" s="17" t="s">
        <v>205</v>
      </c>
      <c r="C31" s="17" t="s">
        <v>204</v>
      </c>
      <c r="D31" s="46" t="s">
        <v>164</v>
      </c>
      <c r="E31" s="3"/>
      <c r="J31" s="41"/>
      <c r="K31" s="41"/>
    </row>
    <row r="32" spans="1:13" s="15" customFormat="1" ht="13" x14ac:dyDescent="0.3">
      <c r="A32" s="22" t="str">
        <f>'Tessa Option'!A49</f>
        <v>Development levies and building fees</v>
      </c>
      <c r="B32" s="23">
        <f>'Raskin Option'!E49</f>
        <v>16400000</v>
      </c>
      <c r="C32" s="23">
        <f>'Tessa Option'!E49</f>
        <v>16400000</v>
      </c>
      <c r="D32" s="13">
        <f>B32*$B$29+C32*$C$29</f>
        <v>16400000</v>
      </c>
      <c r="E32" s="3"/>
      <c r="J32" s="41"/>
      <c r="K32" s="41"/>
    </row>
    <row r="33" spans="1:11" s="15" customFormat="1" ht="25" x14ac:dyDescent="0.25">
      <c r="A33" s="123" t="s">
        <v>226</v>
      </c>
      <c r="B33" s="23">
        <f>'Raskin Option'!E50</f>
        <v>300000</v>
      </c>
      <c r="C33" s="23">
        <f>'Tessa Option'!E50</f>
        <v>15000000</v>
      </c>
      <c r="D33" s="13">
        <f t="shared" ref="D33:D50" si="3">B33*$B$29+C33*$C$29</f>
        <v>7209000</v>
      </c>
      <c r="E33" s="50"/>
      <c r="J33" s="41"/>
      <c r="K33" s="41"/>
    </row>
    <row r="34" spans="1:11" s="15" customFormat="1" x14ac:dyDescent="0.25">
      <c r="A34" s="22" t="str">
        <f>'Tessa Option'!A51</f>
        <v>Purchase tax 5% of the land cost</v>
      </c>
      <c r="B34" s="23">
        <f>'Raskin Option'!E51</f>
        <v>5400000</v>
      </c>
      <c r="C34" s="23">
        <f>'Tessa Option'!E51</f>
        <v>5400000</v>
      </c>
      <c r="D34" s="13">
        <f t="shared" si="3"/>
        <v>5400000</v>
      </c>
      <c r="E34" s="28"/>
      <c r="J34" s="41"/>
      <c r="K34" s="41"/>
    </row>
    <row r="35" spans="1:11" s="15" customFormat="1" ht="25" x14ac:dyDescent="0.25">
      <c r="A35" s="123" t="str">
        <f>'Tessa Option'!A52</f>
        <v>Rent for residents and transfer fees (48 months)</v>
      </c>
      <c r="B35" s="23">
        <f>'Raskin Option'!E52</f>
        <v>8800000</v>
      </c>
      <c r="C35" s="23">
        <f>'Tessa Option'!E52</f>
        <v>8800000</v>
      </c>
      <c r="D35" s="13">
        <f t="shared" si="3"/>
        <v>8800000</v>
      </c>
      <c r="E35" s="41"/>
      <c r="J35" s="41"/>
      <c r="K35" s="41"/>
    </row>
    <row r="36" spans="1:11" s="15" customFormat="1" x14ac:dyDescent="0.25">
      <c r="A36" s="22" t="s">
        <v>214</v>
      </c>
      <c r="B36" s="23">
        <f>'Raskin Option'!E53</f>
        <v>6000000</v>
      </c>
      <c r="C36" s="23">
        <f>'Tessa Option'!E53</f>
        <v>6000000</v>
      </c>
      <c r="D36" s="13">
        <f t="shared" si="3"/>
        <v>6000000</v>
      </c>
      <c r="E36" s="41"/>
      <c r="J36" s="41"/>
      <c r="K36" s="41"/>
    </row>
    <row r="37" spans="1:11" s="15" customFormat="1" x14ac:dyDescent="0.25">
      <c r="A37" s="22" t="str">
        <f>'Tessa Option'!A54</f>
        <v>Construction of basement</v>
      </c>
      <c r="B37" s="23">
        <f>'Raskin Option'!E54</f>
        <v>29400000</v>
      </c>
      <c r="C37" s="23">
        <f>'Tessa Option'!E54</f>
        <v>29400000</v>
      </c>
      <c r="D37" s="13">
        <f t="shared" si="3"/>
        <v>29400000</v>
      </c>
      <c r="J37" s="41"/>
      <c r="K37" s="41"/>
    </row>
    <row r="38" spans="1:11" s="15" customFormat="1" x14ac:dyDescent="0.25">
      <c r="A38" s="22" t="str">
        <f>'Tessa Option'!A55</f>
        <v>Construction of residential areas</v>
      </c>
      <c r="B38" s="23">
        <f>'Raskin Option'!E55</f>
        <v>122764800</v>
      </c>
      <c r="C38" s="23">
        <f>'Tessa Option'!E55</f>
        <v>122764800</v>
      </c>
      <c r="D38" s="13">
        <f t="shared" si="3"/>
        <v>122764800</v>
      </c>
      <c r="J38" s="41"/>
      <c r="K38" s="41"/>
    </row>
    <row r="39" spans="1:11" s="15" customFormat="1" x14ac:dyDescent="0.25">
      <c r="A39" s="22" t="str">
        <f>'Tessa Option'!A56</f>
        <v>Construction of balconies</v>
      </c>
      <c r="B39" s="23">
        <f>'Raskin Option'!E56</f>
        <v>7560000</v>
      </c>
      <c r="C39" s="23">
        <f>'Tessa Option'!E56</f>
        <v>7560000</v>
      </c>
      <c r="D39" s="13">
        <f t="shared" si="3"/>
        <v>7560000</v>
      </c>
      <c r="E39" s="75" t="s">
        <v>194</v>
      </c>
      <c r="J39" s="41"/>
      <c r="K39" s="41"/>
    </row>
    <row r="40" spans="1:11" s="15" customFormat="1" x14ac:dyDescent="0.25">
      <c r="A40" s="22" t="str">
        <f>'Tessa Option'!A57</f>
        <v>Construction of roof terraces</v>
      </c>
      <c r="B40" s="23">
        <f>'Raskin Option'!E57</f>
        <v>1350000</v>
      </c>
      <c r="C40" s="23">
        <f>'Tessa Option'!E57</f>
        <v>1350000</v>
      </c>
      <c r="D40" s="13">
        <f t="shared" si="3"/>
        <v>1350000</v>
      </c>
      <c r="E40" s="7">
        <f>D37+D38+D39+D40+D50</f>
        <v>169203540</v>
      </c>
      <c r="J40" s="41"/>
      <c r="K40" s="41"/>
    </row>
    <row r="41" spans="1:11" s="15" customFormat="1" x14ac:dyDescent="0.25">
      <c r="A41" s="22" t="str">
        <f>'Tessa Option'!A58</f>
        <v>Demolition and removal</v>
      </c>
      <c r="B41" s="23">
        <f>'Raskin Option'!E58</f>
        <v>1000000</v>
      </c>
      <c r="C41" s="23">
        <f>'Tessa Option'!E58</f>
        <v>1000000</v>
      </c>
      <c r="D41" s="13">
        <f t="shared" si="3"/>
        <v>1000000</v>
      </c>
      <c r="E41" s="15">
        <f>E40/180</f>
        <v>940019.66666666663</v>
      </c>
      <c r="J41" s="41"/>
      <c r="K41" s="41"/>
    </row>
    <row r="42" spans="1:11" s="15" customFormat="1" x14ac:dyDescent="0.25">
      <c r="A42" s="22" t="str">
        <f>'Tessa Option'!A59</f>
        <v>Development of open private area</v>
      </c>
      <c r="B42" s="23">
        <f>'Raskin Option'!E59</f>
        <v>500000</v>
      </c>
      <c r="C42" s="23">
        <f>'Tessa Option'!E59</f>
        <v>500000</v>
      </c>
      <c r="D42" s="13">
        <f t="shared" si="3"/>
        <v>500000</v>
      </c>
      <c r="J42" s="41"/>
      <c r="K42" s="41"/>
    </row>
    <row r="43" spans="1:11" s="15" customFormat="1" x14ac:dyDescent="0.25">
      <c r="A43" s="22" t="str">
        <f>'Tessa Option'!A60</f>
        <v>Electricity</v>
      </c>
      <c r="B43" s="23">
        <f>'Raskin Option'!E60</f>
        <v>630000</v>
      </c>
      <c r="C43" s="23">
        <f>'Tessa Option'!E60</f>
        <v>630000</v>
      </c>
      <c r="D43" s="13">
        <f t="shared" si="3"/>
        <v>630000</v>
      </c>
      <c r="J43" s="41"/>
      <c r="K43" s="41"/>
    </row>
    <row r="44" spans="1:11" s="15" customFormat="1" x14ac:dyDescent="0.25">
      <c r="A44" s="22" t="str">
        <f>'Tessa Option'!A61</f>
        <v>Planning and shifting</v>
      </c>
      <c r="B44" s="23">
        <f>'Raskin Option'!E61</f>
        <v>3600000</v>
      </c>
      <c r="C44" s="23">
        <f>'Tessa Option'!E61</f>
        <v>3600000</v>
      </c>
      <c r="D44" s="13">
        <f t="shared" si="3"/>
        <v>3600000</v>
      </c>
      <c r="J44" s="41"/>
      <c r="K44" s="41"/>
    </row>
    <row r="45" spans="1:11" s="15" customFormat="1" x14ac:dyDescent="0.25">
      <c r="A45" s="22" t="str">
        <f>'Tessa Option'!A62</f>
        <v>Management fees</v>
      </c>
      <c r="B45" s="23">
        <f>'Raskin Option'!E62</f>
        <v>4877244</v>
      </c>
      <c r="C45" s="23">
        <f>'Tessa Option'!E62</f>
        <v>4877244</v>
      </c>
      <c r="D45" s="13">
        <f t="shared" si="3"/>
        <v>4877244</v>
      </c>
      <c r="J45" s="41"/>
      <c r="K45" s="41"/>
    </row>
    <row r="46" spans="1:11" s="15" customFormat="1" ht="25" x14ac:dyDescent="0.25">
      <c r="A46" s="123" t="str">
        <f>'Tessa Option'!A63</f>
        <v>Guarantees for residents and property owners</v>
      </c>
      <c r="B46" s="23">
        <f>'Raskin Option'!E63</f>
        <v>17466731.53846154</v>
      </c>
      <c r="C46" s="23">
        <f>'Tessa Option'!E63</f>
        <v>17466731.53846154</v>
      </c>
      <c r="D46" s="13">
        <f t="shared" si="3"/>
        <v>17466731.53846154</v>
      </c>
      <c r="J46" s="41"/>
      <c r="K46" s="41"/>
    </row>
    <row r="47" spans="1:11" s="15" customFormat="1" x14ac:dyDescent="0.25">
      <c r="A47" s="22" t="str">
        <f>'Tessa Option'!A64</f>
        <v>Financing</v>
      </c>
      <c r="B47" s="23">
        <f>'Raskin Option'!E64</f>
        <v>2500000</v>
      </c>
      <c r="C47" s="23">
        <f>'Tessa Option'!E64</f>
        <v>2500000</v>
      </c>
      <c r="D47" s="13">
        <f t="shared" si="3"/>
        <v>2500000</v>
      </c>
      <c r="J47" s="41"/>
      <c r="K47" s="41"/>
    </row>
    <row r="48" spans="1:11" s="15" customFormat="1" x14ac:dyDescent="0.25">
      <c r="A48" s="22" t="str">
        <f>'Tessa Option'!A65</f>
        <v>Legal fees</v>
      </c>
      <c r="B48" s="23">
        <f>'Raskin Option'!E65</f>
        <v>8888443.2000000011</v>
      </c>
      <c r="C48" s="23">
        <f>'Tessa Option'!E65</f>
        <v>8546580</v>
      </c>
      <c r="D48" s="13">
        <f t="shared" si="3"/>
        <v>8727767.4959999993</v>
      </c>
      <c r="J48" s="41"/>
      <c r="K48" s="41"/>
    </row>
    <row r="49" spans="1:11" s="15" customFormat="1" x14ac:dyDescent="0.25">
      <c r="A49" s="22" t="str">
        <f>'Tessa Option'!A66</f>
        <v>Marketing and advertising</v>
      </c>
      <c r="B49" s="23">
        <f>'Raskin Option'!E66</f>
        <v>9496200.0000000019</v>
      </c>
      <c r="C49" s="23">
        <f>'Tessa Option'!E66</f>
        <v>9130961.5384615399</v>
      </c>
      <c r="D49" s="13">
        <f t="shared" si="3"/>
        <v>9324537.9230769239</v>
      </c>
      <c r="J49" s="41"/>
      <c r="K49" s="41"/>
    </row>
    <row r="50" spans="1:11" s="15" customFormat="1" x14ac:dyDescent="0.25">
      <c r="A50" s="22" t="str">
        <f>'Tessa Option'!A67</f>
        <v xml:space="preserve"> unforeseen items</v>
      </c>
      <c r="B50" s="23">
        <f>'Raskin Option'!E67</f>
        <v>8128740</v>
      </c>
      <c r="C50" s="23">
        <f>'Tessa Option'!E67</f>
        <v>8128740</v>
      </c>
      <c r="D50" s="13">
        <f t="shared" si="3"/>
        <v>8128740</v>
      </c>
      <c r="E50" s="36"/>
      <c r="J50" s="41"/>
      <c r="K50" s="41"/>
    </row>
    <row r="51" spans="1:11" s="15" customFormat="1" ht="13.5" thickBot="1" x14ac:dyDescent="0.35">
      <c r="A51" s="38" t="s">
        <v>130</v>
      </c>
      <c r="B51" s="35"/>
      <c r="C51" s="35"/>
      <c r="D51" s="39">
        <f>SUM(D32:D50)</f>
        <v>261638820.95753846</v>
      </c>
      <c r="E51" s="40"/>
      <c r="J51" s="41"/>
      <c r="K51" s="41"/>
    </row>
    <row r="52" spans="1:11" s="15" customFormat="1" ht="13.5" thickTop="1" x14ac:dyDescent="0.3">
      <c r="A52" s="3"/>
      <c r="B52" s="3"/>
      <c r="C52" s="3"/>
      <c r="D52" s="3"/>
      <c r="J52" s="41"/>
      <c r="K52" s="41"/>
    </row>
    <row r="53" spans="1:11" s="15" customFormat="1" ht="13" x14ac:dyDescent="0.3">
      <c r="A53" s="3"/>
      <c r="B53" s="3"/>
      <c r="C53" s="3"/>
      <c r="D53" s="3"/>
      <c r="J53" s="41"/>
      <c r="K53" s="41"/>
    </row>
    <row r="54" spans="1:11" s="15" customFormat="1" ht="13" x14ac:dyDescent="0.3">
      <c r="A54" s="3"/>
      <c r="B54" s="3"/>
      <c r="C54" s="3"/>
      <c r="D54" s="3"/>
      <c r="J54" s="41"/>
      <c r="K54" s="41"/>
    </row>
    <row r="55" spans="1:11" s="15" customFormat="1" ht="13" x14ac:dyDescent="0.3">
      <c r="A55" s="3" t="s">
        <v>137</v>
      </c>
      <c r="B55" s="1"/>
      <c r="C55" s="1"/>
      <c r="D55" s="1"/>
      <c r="E55" s="1"/>
      <c r="J55" s="42"/>
      <c r="K55" s="42"/>
    </row>
    <row r="56" spans="1:11" s="15" customFormat="1" x14ac:dyDescent="0.25">
      <c r="A56" s="1"/>
      <c r="B56" s="1"/>
      <c r="C56" s="1"/>
      <c r="D56" s="1"/>
      <c r="E56" s="1"/>
      <c r="J56" s="41"/>
      <c r="K56" s="41"/>
    </row>
    <row r="57" spans="1:11" s="15" customFormat="1" ht="13" thickBot="1" x14ac:dyDescent="0.3">
      <c r="A57" s="1"/>
      <c r="B57" s="1"/>
      <c r="C57" s="1"/>
      <c r="D57" s="1"/>
      <c r="E57" s="1"/>
      <c r="J57" s="44"/>
      <c r="K57" s="44"/>
    </row>
    <row r="58" spans="1:11" s="15" customFormat="1" ht="26.5" thickTop="1" x14ac:dyDescent="0.3">
      <c r="A58" s="16" t="s">
        <v>138</v>
      </c>
      <c r="B58" s="17" t="s">
        <v>183</v>
      </c>
      <c r="C58" s="45" t="s">
        <v>184</v>
      </c>
      <c r="D58" s="45" t="s">
        <v>149</v>
      </c>
      <c r="E58" s="46" t="s">
        <v>150</v>
      </c>
      <c r="J58" s="47"/>
      <c r="K58" s="47"/>
    </row>
    <row r="59" spans="1:11" s="15" customFormat="1" ht="13" x14ac:dyDescent="0.3">
      <c r="A59" s="48" t="str">
        <f>'Tessa Option'!A76</f>
        <v>Garden apartments</v>
      </c>
      <c r="B59" s="65">
        <f>'Tessa Option'!B76</f>
        <v>9</v>
      </c>
      <c r="C59" s="66">
        <f>'Tessa Option'!C76</f>
        <v>5814000</v>
      </c>
      <c r="D59" s="66">
        <f t="shared" ref="D59:D66" si="4">C59*B59</f>
        <v>52326000</v>
      </c>
      <c r="E59" s="67">
        <f>D59/1.17</f>
        <v>44723076.923076928</v>
      </c>
      <c r="J59" s="47"/>
      <c r="K59" s="47"/>
    </row>
    <row r="60" spans="1:11" s="15" customFormat="1" ht="13" x14ac:dyDescent="0.3">
      <c r="A60" s="48" t="str">
        <f>'Tessa Option'!A77</f>
        <v>3 room</v>
      </c>
      <c r="B60" s="65">
        <f>'Tessa Option'!B77</f>
        <v>36</v>
      </c>
      <c r="C60" s="66">
        <f>'Tessa Option'!C77</f>
        <v>3268000</v>
      </c>
      <c r="D60" s="66">
        <f t="shared" si="4"/>
        <v>117648000</v>
      </c>
      <c r="E60" s="67">
        <f t="shared" ref="E60:E66" si="5">D60/1.17</f>
        <v>100553846.15384616</v>
      </c>
      <c r="J60" s="47"/>
      <c r="K60" s="47"/>
    </row>
    <row r="61" spans="1:11" s="15" customFormat="1" ht="13" x14ac:dyDescent="0.3">
      <c r="A61" s="48" t="str">
        <f>'Tessa Option'!A78</f>
        <v>4 room</v>
      </c>
      <c r="B61" s="65">
        <f>'Tessa Option'!B78</f>
        <v>36</v>
      </c>
      <c r="C61" s="66">
        <f>'Tessa Option'!C78</f>
        <v>4256000</v>
      </c>
      <c r="D61" s="66">
        <f t="shared" si="4"/>
        <v>153216000</v>
      </c>
      <c r="E61" s="67">
        <f t="shared" si="5"/>
        <v>130953846.15384616</v>
      </c>
      <c r="J61" s="47"/>
      <c r="K61" s="47"/>
    </row>
    <row r="62" spans="1:11" s="15" customFormat="1" ht="13" x14ac:dyDescent="0.3">
      <c r="A62" s="48" t="str">
        <f>'Tessa Option'!A79</f>
        <v>4.5 room</v>
      </c>
      <c r="B62" s="65">
        <f>'Tessa Option'!B79</f>
        <v>9</v>
      </c>
      <c r="C62" s="66">
        <f>'Tessa Option'!C79</f>
        <v>4636000</v>
      </c>
      <c r="D62" s="66">
        <f t="shared" si="4"/>
        <v>41724000</v>
      </c>
      <c r="E62" s="67">
        <f t="shared" si="5"/>
        <v>35661538.461538464</v>
      </c>
      <c r="F62" s="36"/>
      <c r="J62" s="47"/>
      <c r="K62" s="47"/>
    </row>
    <row r="63" spans="1:11" s="15" customFormat="1" ht="13" x14ac:dyDescent="0.3">
      <c r="A63" s="48" t="str">
        <f>'Tessa Option'!A80</f>
        <v>5 room</v>
      </c>
      <c r="B63" s="65">
        <f>'Tessa Option'!B80</f>
        <v>45</v>
      </c>
      <c r="C63" s="66">
        <f>'Tessa Option'!C80</f>
        <v>4674000</v>
      </c>
      <c r="D63" s="66">
        <f t="shared" si="4"/>
        <v>210330000</v>
      </c>
      <c r="E63" s="67">
        <f t="shared" si="5"/>
        <v>179769230.76923078</v>
      </c>
      <c r="F63" s="36"/>
      <c r="J63" s="47"/>
      <c r="K63" s="47"/>
    </row>
    <row r="64" spans="1:11" s="15" customFormat="1" ht="13" x14ac:dyDescent="0.3">
      <c r="A64" s="48" t="str">
        <f>'Tessa Option'!A81</f>
        <v>6 room</v>
      </c>
      <c r="B64" s="65">
        <f>'Tessa Option'!B81</f>
        <v>18</v>
      </c>
      <c r="C64" s="66">
        <f>'Tessa Option'!C81</f>
        <v>5643000</v>
      </c>
      <c r="D64" s="66">
        <f t="shared" si="4"/>
        <v>101574000</v>
      </c>
      <c r="E64" s="67">
        <f t="shared" si="5"/>
        <v>86815384.615384623</v>
      </c>
      <c r="F64" s="36"/>
      <c r="J64" s="47"/>
      <c r="K64" s="47"/>
    </row>
    <row r="65" spans="1:13" s="15" customFormat="1" ht="13" x14ac:dyDescent="0.3">
      <c r="A65" s="48" t="str">
        <f>'Tessa Option'!A82</f>
        <v>6.5 room</v>
      </c>
      <c r="B65" s="65">
        <f>'Tessa Option'!B82</f>
        <v>18</v>
      </c>
      <c r="C65" s="66">
        <f>'Tessa Option'!C82</f>
        <v>6023000</v>
      </c>
      <c r="D65" s="66">
        <f t="shared" si="4"/>
        <v>108414000</v>
      </c>
      <c r="E65" s="67">
        <f t="shared" si="5"/>
        <v>92661538.461538464</v>
      </c>
      <c r="F65" s="36"/>
      <c r="J65" s="47"/>
      <c r="K65" s="47"/>
    </row>
    <row r="66" spans="1:13" s="15" customFormat="1" ht="13" x14ac:dyDescent="0.3">
      <c r="A66" s="48" t="str">
        <f>'Tessa Option'!A83</f>
        <v>Penthouses</v>
      </c>
      <c r="B66" s="65">
        <f>'Tessa Option'!B83</f>
        <v>9</v>
      </c>
      <c r="C66" s="66">
        <f>'Tessa Option'!C83</f>
        <v>7714000</v>
      </c>
      <c r="D66" s="66">
        <f t="shared" si="4"/>
        <v>69426000</v>
      </c>
      <c r="E66" s="67">
        <f t="shared" si="5"/>
        <v>59338461.538461544</v>
      </c>
      <c r="F66" s="36"/>
      <c r="J66" s="47"/>
      <c r="K66" s="47"/>
    </row>
    <row r="67" spans="1:13" s="15" customFormat="1" ht="13" x14ac:dyDescent="0.3">
      <c r="A67" s="49" t="s">
        <v>1</v>
      </c>
      <c r="B67" s="68">
        <f>SUM(B59:B66)</f>
        <v>180</v>
      </c>
      <c r="C67" s="68"/>
      <c r="D67" s="68"/>
      <c r="E67" s="69">
        <f>SUM(E59:E66)</f>
        <v>730476923.07692313</v>
      </c>
      <c r="F67" s="50"/>
      <c r="L67" s="40"/>
      <c r="M67" s="51"/>
    </row>
    <row r="68" spans="1:13" s="15" customFormat="1" ht="13" x14ac:dyDescent="0.3">
      <c r="A68" s="8" t="s">
        <v>2</v>
      </c>
      <c r="B68" s="70">
        <f>B67*D68</f>
        <v>88.091999999999999</v>
      </c>
      <c r="C68" s="103"/>
      <c r="D68" s="103">
        <f>B29*'Raskin Option'!C85+'Consolidated '!C29*'Tessa Option'!D85</f>
        <v>0.4894</v>
      </c>
      <c r="E68" s="13">
        <f>E67/B67*B68</f>
        <v>357495406.15384614</v>
      </c>
    </row>
    <row r="69" spans="1:13" s="15" customFormat="1" ht="13.5" thickBot="1" x14ac:dyDescent="0.35">
      <c r="A69" s="52" t="s">
        <v>3</v>
      </c>
      <c r="B69" s="53">
        <f>B67-B68</f>
        <v>91.908000000000001</v>
      </c>
      <c r="C69" s="54"/>
      <c r="D69" s="54"/>
      <c r="E69" s="55">
        <f>+E67-E68</f>
        <v>372981516.92307699</v>
      </c>
      <c r="M69" s="51"/>
    </row>
    <row r="70" spans="1:13" s="15" customFormat="1" ht="13" thickTop="1" x14ac:dyDescent="0.25"/>
    <row r="71" spans="1:13" s="15" customFormat="1" ht="13.5" thickBot="1" x14ac:dyDescent="0.35">
      <c r="A71" s="3" t="s">
        <v>185</v>
      </c>
      <c r="C71" s="58"/>
      <c r="D71" s="58"/>
    </row>
    <row r="72" spans="1:13" s="15" customFormat="1" ht="26.5" thickTop="1" thickBot="1" x14ac:dyDescent="0.35">
      <c r="B72" s="29"/>
      <c r="C72" s="121" t="s">
        <v>153</v>
      </c>
      <c r="D72" s="58"/>
      <c r="E72" s="57">
        <f>E69-D51</f>
        <v>111342695.96553853</v>
      </c>
    </row>
    <row r="73" spans="1:13" s="15" customFormat="1" ht="13" thickTop="1" x14ac:dyDescent="0.25">
      <c r="C73" s="58"/>
      <c r="D73" s="58"/>
    </row>
    <row r="74" spans="1:13" s="15" customFormat="1" ht="26" x14ac:dyDescent="0.3">
      <c r="C74" s="122" t="s">
        <v>202</v>
      </c>
      <c r="D74" s="51"/>
      <c r="E74" s="15">
        <f>'Raskin Option'!E90*B29</f>
        <v>20851613.333333343</v>
      </c>
    </row>
    <row r="75" spans="1:13" s="15" customFormat="1" ht="13.5" thickBot="1" x14ac:dyDescent="0.35">
      <c r="C75" s="51"/>
      <c r="D75" s="51"/>
    </row>
    <row r="76" spans="1:13" s="15" customFormat="1" ht="14" thickTop="1" thickBot="1" x14ac:dyDescent="0.35">
      <c r="C76" s="51" t="s">
        <v>203</v>
      </c>
      <c r="D76" s="51"/>
      <c r="E76" s="57">
        <f>E72-E74</f>
        <v>90491082.632205188</v>
      </c>
    </row>
    <row r="77" spans="1:13" s="15" customFormat="1" ht="13.5" thickTop="1" x14ac:dyDescent="0.3">
      <c r="C77" s="51"/>
      <c r="D77" s="51"/>
    </row>
    <row r="78" spans="1:13" s="15" customFormat="1" ht="13" hidden="1" x14ac:dyDescent="0.3">
      <c r="A78" s="43" t="s">
        <v>61</v>
      </c>
      <c r="C78" s="51"/>
      <c r="D78" s="51"/>
    </row>
    <row r="79" spans="1:13" s="15" customFormat="1" hidden="1" x14ac:dyDescent="0.25"/>
    <row r="80" spans="1:13" s="15" customFormat="1" ht="13" hidden="1" x14ac:dyDescent="0.3">
      <c r="A80" s="43" t="s">
        <v>72</v>
      </c>
      <c r="B80" s="43" t="s">
        <v>0</v>
      </c>
      <c r="C80" s="43" t="s">
        <v>6</v>
      </c>
      <c r="D80" s="43"/>
      <c r="E80" s="43" t="s">
        <v>7</v>
      </c>
      <c r="F80" s="43" t="s">
        <v>37</v>
      </c>
      <c r="G80" s="43" t="s">
        <v>35</v>
      </c>
      <c r="H80" s="43"/>
      <c r="I80" s="43"/>
      <c r="J80" s="43" t="s">
        <v>78</v>
      </c>
      <c r="K80" s="43"/>
    </row>
    <row r="81" spans="1:11" s="15" customFormat="1" hidden="1" x14ac:dyDescent="0.25">
      <c r="A81" s="15">
        <v>1</v>
      </c>
      <c r="B81" s="15" t="s">
        <v>62</v>
      </c>
      <c r="C81" s="15">
        <v>130.00163318634657</v>
      </c>
      <c r="F81" s="15">
        <v>100</v>
      </c>
      <c r="G81" s="15">
        <f t="shared" ref="G81:G106" si="6">(C81+E81*0.5+F81*0.25)*J81</f>
        <v>4960052.2619630899</v>
      </c>
      <c r="J81" s="15">
        <v>32000</v>
      </c>
    </row>
    <row r="82" spans="1:11" s="15" customFormat="1" hidden="1" x14ac:dyDescent="0.25">
      <c r="A82" s="15">
        <v>2</v>
      </c>
      <c r="B82" s="15" t="s">
        <v>63</v>
      </c>
      <c r="C82" s="15">
        <v>133.20116641367741</v>
      </c>
      <c r="E82" s="15">
        <v>27</v>
      </c>
      <c r="G82" s="15">
        <f t="shared" si="6"/>
        <v>4841138.4916513544</v>
      </c>
      <c r="J82" s="72">
        <v>33000</v>
      </c>
      <c r="K82" s="72"/>
    </row>
    <row r="83" spans="1:11" s="15" customFormat="1" hidden="1" x14ac:dyDescent="0.25">
      <c r="A83" s="15">
        <v>3</v>
      </c>
      <c r="B83" s="15" t="s">
        <v>63</v>
      </c>
      <c r="C83" s="15">
        <v>130.50241835551824</v>
      </c>
      <c r="E83" s="15">
        <v>27</v>
      </c>
      <c r="G83" s="15">
        <f t="shared" si="6"/>
        <v>4752079.8057321021</v>
      </c>
      <c r="J83" s="15">
        <f>J82</f>
        <v>33000</v>
      </c>
    </row>
    <row r="84" spans="1:11" s="15" customFormat="1" hidden="1" x14ac:dyDescent="0.25">
      <c r="A84" s="15">
        <v>4</v>
      </c>
      <c r="B84" s="15" t="s">
        <v>64</v>
      </c>
      <c r="C84" s="15">
        <v>80.499021057258162</v>
      </c>
      <c r="E84" s="15">
        <v>27</v>
      </c>
      <c r="G84" s="15">
        <f t="shared" si="6"/>
        <v>3101967.6948895194</v>
      </c>
      <c r="J84" s="15">
        <f>J82</f>
        <v>33000</v>
      </c>
    </row>
    <row r="85" spans="1:11" s="15" customFormat="1" hidden="1" x14ac:dyDescent="0.25">
      <c r="A85" s="15">
        <v>5</v>
      </c>
      <c r="B85" s="15" t="s">
        <v>63</v>
      </c>
      <c r="C85" s="15">
        <v>133.19999205434826</v>
      </c>
      <c r="E85" s="15">
        <v>27</v>
      </c>
      <c r="G85" s="15">
        <f t="shared" si="6"/>
        <v>4841099.7377934922</v>
      </c>
      <c r="J85" s="15">
        <f>J82</f>
        <v>33000</v>
      </c>
    </row>
    <row r="86" spans="1:11" s="15" customFormat="1" hidden="1" x14ac:dyDescent="0.25">
      <c r="A86" s="15">
        <v>6</v>
      </c>
      <c r="B86" s="15" t="s">
        <v>63</v>
      </c>
      <c r="C86" s="15">
        <v>130.49882736415313</v>
      </c>
      <c r="E86" s="15">
        <v>27</v>
      </c>
      <c r="G86" s="15">
        <f t="shared" si="6"/>
        <v>4751961.3030170528</v>
      </c>
      <c r="J86" s="15">
        <f>J82</f>
        <v>33000</v>
      </c>
    </row>
    <row r="87" spans="1:11" s="15" customFormat="1" hidden="1" x14ac:dyDescent="0.25">
      <c r="A87" s="15">
        <v>7</v>
      </c>
      <c r="B87" s="15" t="s">
        <v>65</v>
      </c>
      <c r="C87" s="15">
        <v>80.4986727942633</v>
      </c>
      <c r="E87" s="15">
        <v>27</v>
      </c>
      <c r="G87" s="15">
        <f t="shared" si="6"/>
        <v>3101956.202210689</v>
      </c>
      <c r="J87" s="15">
        <f>J82</f>
        <v>33000</v>
      </c>
    </row>
    <row r="88" spans="1:11" s="15" customFormat="1" hidden="1" x14ac:dyDescent="0.25">
      <c r="A88" s="15">
        <v>8</v>
      </c>
      <c r="B88" s="15" t="s">
        <v>63</v>
      </c>
      <c r="C88" s="15">
        <v>133.19883040935673</v>
      </c>
      <c r="E88" s="15">
        <v>27</v>
      </c>
      <c r="G88" s="15">
        <f t="shared" si="6"/>
        <v>4841061.4035087721</v>
      </c>
      <c r="J88" s="15">
        <f>J82</f>
        <v>33000</v>
      </c>
    </row>
    <row r="89" spans="1:11" s="15" customFormat="1" hidden="1" x14ac:dyDescent="0.25">
      <c r="A89" s="15">
        <v>9</v>
      </c>
      <c r="B89" s="15" t="s">
        <v>63</v>
      </c>
      <c r="C89" s="15">
        <v>130.50094876660341</v>
      </c>
      <c r="E89" s="15">
        <v>27</v>
      </c>
      <c r="G89" s="15">
        <f t="shared" si="6"/>
        <v>4752031.3092979128</v>
      </c>
      <c r="J89" s="15">
        <f>J82</f>
        <v>33000</v>
      </c>
    </row>
    <row r="90" spans="1:11" s="15" customFormat="1" hidden="1" x14ac:dyDescent="0.25">
      <c r="A90" s="15">
        <v>10</v>
      </c>
      <c r="B90" s="15" t="s">
        <v>66</v>
      </c>
      <c r="C90" s="15">
        <v>80.498330386957377</v>
      </c>
      <c r="E90" s="15">
        <v>27</v>
      </c>
      <c r="G90" s="15">
        <f t="shared" si="6"/>
        <v>3101944.9027695935</v>
      </c>
      <c r="J90" s="15">
        <f>J82</f>
        <v>33000</v>
      </c>
    </row>
    <row r="91" spans="1:11" s="15" customFormat="1" hidden="1" x14ac:dyDescent="0.25">
      <c r="A91" s="15">
        <v>11</v>
      </c>
      <c r="B91" s="15" t="s">
        <v>63</v>
      </c>
      <c r="C91" s="15">
        <v>133.19768127333464</v>
      </c>
      <c r="E91" s="15">
        <v>27</v>
      </c>
      <c r="G91" s="15">
        <f t="shared" si="6"/>
        <v>4841023.4820200428</v>
      </c>
      <c r="J91" s="15">
        <f>J82</f>
        <v>33000</v>
      </c>
    </row>
    <row r="92" spans="1:11" s="15" customFormat="1" hidden="1" x14ac:dyDescent="0.25">
      <c r="A92" s="15">
        <v>12</v>
      </c>
      <c r="B92" s="15" t="s">
        <v>63</v>
      </c>
      <c r="C92" s="15">
        <v>130.49740525239818</v>
      </c>
      <c r="E92" s="15">
        <v>27</v>
      </c>
      <c r="G92" s="15">
        <f t="shared" si="6"/>
        <v>4751914.3733291402</v>
      </c>
      <c r="J92" s="15">
        <f>J82</f>
        <v>33000</v>
      </c>
    </row>
    <row r="93" spans="1:11" s="15" customFormat="1" hidden="1" x14ac:dyDescent="0.25">
      <c r="A93" s="15">
        <v>13</v>
      </c>
      <c r="B93" s="15" t="s">
        <v>67</v>
      </c>
      <c r="C93" s="15">
        <v>80.501636278634876</v>
      </c>
      <c r="E93" s="15">
        <v>27</v>
      </c>
      <c r="G93" s="15">
        <f t="shared" si="6"/>
        <v>3102053.9971949509</v>
      </c>
      <c r="J93" s="15">
        <f>J82</f>
        <v>33000</v>
      </c>
    </row>
    <row r="94" spans="1:11" s="15" customFormat="1" hidden="1" x14ac:dyDescent="0.25">
      <c r="A94" s="15">
        <v>14</v>
      </c>
      <c r="B94" s="15" t="s">
        <v>63</v>
      </c>
      <c r="C94" s="15">
        <v>133.20225948946484</v>
      </c>
      <c r="E94" s="15">
        <v>27</v>
      </c>
      <c r="G94" s="15">
        <f t="shared" si="6"/>
        <v>4841174.5631523393</v>
      </c>
      <c r="J94" s="15">
        <f>J82</f>
        <v>33000</v>
      </c>
    </row>
    <row r="95" spans="1:11" s="15" customFormat="1" hidden="1" x14ac:dyDescent="0.25">
      <c r="A95" s="15">
        <v>15</v>
      </c>
      <c r="B95" s="15" t="s">
        <v>63</v>
      </c>
      <c r="C95" s="15">
        <v>130.49951124144673</v>
      </c>
      <c r="E95" s="15">
        <v>27</v>
      </c>
      <c r="G95" s="15">
        <f t="shared" si="6"/>
        <v>4751983.8709677421</v>
      </c>
      <c r="J95" s="15">
        <f>J82</f>
        <v>33000</v>
      </c>
    </row>
    <row r="96" spans="1:11" s="15" customFormat="1" hidden="1" x14ac:dyDescent="0.25">
      <c r="A96" s="15">
        <v>16</v>
      </c>
      <c r="B96" s="15" t="s">
        <v>68</v>
      </c>
      <c r="C96" s="15">
        <v>80.501275017386604</v>
      </c>
      <c r="E96" s="15">
        <v>27</v>
      </c>
      <c r="G96" s="15">
        <f t="shared" si="6"/>
        <v>3102042.0755737578</v>
      </c>
      <c r="J96" s="15">
        <f>J82</f>
        <v>33000</v>
      </c>
    </row>
    <row r="97" spans="1:10" s="15" customFormat="1" hidden="1" x14ac:dyDescent="0.25">
      <c r="A97" s="15">
        <v>17</v>
      </c>
      <c r="B97" s="15" t="s">
        <v>63</v>
      </c>
      <c r="C97" s="15">
        <v>133.20110428493663</v>
      </c>
      <c r="E97" s="15">
        <v>27</v>
      </c>
      <c r="G97" s="15">
        <f t="shared" si="6"/>
        <v>4841136.4414029093</v>
      </c>
      <c r="J97" s="15">
        <f>J82</f>
        <v>33000</v>
      </c>
    </row>
    <row r="98" spans="1:10" s="15" customFormat="1" hidden="1" x14ac:dyDescent="0.25">
      <c r="A98" s="15">
        <v>18</v>
      </c>
      <c r="B98" s="15" t="s">
        <v>63</v>
      </c>
      <c r="C98" s="15">
        <v>130.50159446216068</v>
      </c>
      <c r="E98" s="15">
        <v>27</v>
      </c>
      <c r="G98" s="15">
        <f t="shared" si="6"/>
        <v>4752052.6172513021</v>
      </c>
      <c r="J98" s="15">
        <f>J82</f>
        <v>33000</v>
      </c>
    </row>
    <row r="99" spans="1:10" s="15" customFormat="1" hidden="1" x14ac:dyDescent="0.25">
      <c r="A99" s="15">
        <v>19</v>
      </c>
      <c r="B99" s="15" t="s">
        <v>63</v>
      </c>
      <c r="C99" s="15">
        <v>109.49961234299892</v>
      </c>
      <c r="E99" s="15">
        <v>27</v>
      </c>
      <c r="G99" s="15">
        <f t="shared" si="6"/>
        <v>4058987.2073189644</v>
      </c>
      <c r="J99" s="15">
        <f>J82</f>
        <v>33000</v>
      </c>
    </row>
    <row r="100" spans="1:10" s="15" customFormat="1" hidden="1" x14ac:dyDescent="0.25">
      <c r="A100" s="15">
        <v>20</v>
      </c>
      <c r="B100" s="15" t="s">
        <v>63</v>
      </c>
      <c r="C100" s="15">
        <v>133.19996132276157</v>
      </c>
      <c r="E100" s="15">
        <v>27</v>
      </c>
      <c r="G100" s="15">
        <f t="shared" si="6"/>
        <v>4841098.7236511316</v>
      </c>
      <c r="J100" s="15">
        <f>J82</f>
        <v>33000</v>
      </c>
    </row>
    <row r="101" spans="1:10" s="15" customFormat="1" hidden="1" x14ac:dyDescent="0.25">
      <c r="A101" s="15">
        <v>21</v>
      </c>
      <c r="B101" s="15" t="s">
        <v>63</v>
      </c>
      <c r="C101" s="15">
        <v>130.49810474201283</v>
      </c>
      <c r="E101" s="15">
        <v>27</v>
      </c>
      <c r="G101" s="15">
        <f t="shared" si="6"/>
        <v>4751937.4564864235</v>
      </c>
      <c r="J101" s="15">
        <f>J82</f>
        <v>33000</v>
      </c>
    </row>
    <row r="102" spans="1:10" s="15" customFormat="1" hidden="1" x14ac:dyDescent="0.25">
      <c r="A102" s="15">
        <v>22</v>
      </c>
      <c r="B102" s="15" t="s">
        <v>63</v>
      </c>
      <c r="C102" s="15">
        <v>109.5008667514157</v>
      </c>
      <c r="E102" s="15">
        <v>27</v>
      </c>
      <c r="G102" s="15">
        <f t="shared" si="6"/>
        <v>4059028.602796718</v>
      </c>
      <c r="J102" s="15">
        <f>J82</f>
        <v>33000</v>
      </c>
    </row>
    <row r="103" spans="1:10" s="15" customFormat="1" hidden="1" x14ac:dyDescent="0.25">
      <c r="A103" s="15">
        <v>23</v>
      </c>
      <c r="B103" s="15" t="s">
        <v>79</v>
      </c>
      <c r="C103" s="15">
        <v>151.99856605126368</v>
      </c>
      <c r="F103" s="15">
        <v>40</v>
      </c>
      <c r="G103" s="15">
        <f t="shared" si="6"/>
        <v>5669949.8117942289</v>
      </c>
      <c r="J103" s="15">
        <v>35000</v>
      </c>
    </row>
    <row r="104" spans="1:10" s="15" customFormat="1" hidden="1" x14ac:dyDescent="0.25">
      <c r="A104" s="15">
        <v>24</v>
      </c>
      <c r="B104" s="15" t="s">
        <v>79</v>
      </c>
      <c r="C104" s="15">
        <v>151.99856605126368</v>
      </c>
      <c r="F104" s="15">
        <v>40</v>
      </c>
      <c r="G104" s="15">
        <f t="shared" si="6"/>
        <v>5669949.8117942289</v>
      </c>
      <c r="J104" s="15">
        <v>35000</v>
      </c>
    </row>
    <row r="105" spans="1:10" s="15" customFormat="1" hidden="1" x14ac:dyDescent="0.25">
      <c r="A105" s="15">
        <v>25</v>
      </c>
      <c r="B105" s="15" t="s">
        <v>79</v>
      </c>
      <c r="C105" s="15">
        <v>186.99974875273679</v>
      </c>
      <c r="F105" s="15">
        <v>70</v>
      </c>
      <c r="G105" s="15">
        <f t="shared" si="6"/>
        <v>7157491.2063457873</v>
      </c>
      <c r="J105" s="15">
        <v>35000</v>
      </c>
    </row>
    <row r="106" spans="1:10" s="15" customFormat="1" hidden="1" x14ac:dyDescent="0.25">
      <c r="A106" s="15">
        <v>26</v>
      </c>
      <c r="B106" s="15" t="s">
        <v>79</v>
      </c>
      <c r="C106" s="15">
        <v>186.99974875273679</v>
      </c>
      <c r="F106" s="15">
        <v>70</v>
      </c>
      <c r="G106" s="15">
        <f t="shared" si="6"/>
        <v>7157491.2063457873</v>
      </c>
      <c r="J106" s="15">
        <v>35000</v>
      </c>
    </row>
    <row r="107" spans="1:10" s="15" customFormat="1" ht="13.5" hidden="1" thickBot="1" x14ac:dyDescent="0.35">
      <c r="G107" s="64">
        <f>SUM(G81:G106)</f>
        <v>121394608.56025901</v>
      </c>
      <c r="H107" s="85"/>
      <c r="I107" s="85"/>
    </row>
    <row r="108" spans="1:10" s="15" customFormat="1" hidden="1" x14ac:dyDescent="0.25"/>
    <row r="109" spans="1:10" s="15" customFormat="1" hidden="1" x14ac:dyDescent="0.25"/>
    <row r="110" spans="1:10" s="15" customFormat="1" hidden="1" x14ac:dyDescent="0.25"/>
    <row r="111" spans="1:10" s="15" customFormat="1" hidden="1" x14ac:dyDescent="0.25"/>
    <row r="112" spans="1:10" s="15" customFormat="1" hidden="1" x14ac:dyDescent="0.25"/>
    <row r="113" spans="1:23" s="15" customFormat="1" hidden="1" x14ac:dyDescent="0.25"/>
    <row r="114" spans="1:23" s="15" customFormat="1" ht="13" hidden="1" x14ac:dyDescent="0.3">
      <c r="A114" s="43" t="s">
        <v>70</v>
      </c>
      <c r="B114" s="1"/>
      <c r="C114" s="1"/>
      <c r="D114" s="1"/>
      <c r="E114" s="1"/>
      <c r="F114" s="1"/>
      <c r="G114" s="1"/>
      <c r="H114" s="1"/>
      <c r="I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s="15" customFormat="1" ht="13" hidden="1" x14ac:dyDescent="0.3">
      <c r="A115" s="43" t="s">
        <v>72</v>
      </c>
      <c r="B115" s="43" t="s">
        <v>0</v>
      </c>
      <c r="C115" s="43" t="s">
        <v>6</v>
      </c>
      <c r="D115" s="43"/>
      <c r="E115" s="43" t="s">
        <v>7</v>
      </c>
      <c r="F115" s="43" t="s">
        <v>37</v>
      </c>
      <c r="G115" s="43" t="s">
        <v>35</v>
      </c>
      <c r="H115" s="43"/>
      <c r="I115" s="43"/>
      <c r="J115" s="43" t="s">
        <v>34</v>
      </c>
      <c r="K115" s="43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s="15" customFormat="1" hidden="1" x14ac:dyDescent="0.25">
      <c r="A116" s="15">
        <v>1</v>
      </c>
      <c r="B116" s="15" t="s">
        <v>62</v>
      </c>
      <c r="C116" s="15">
        <v>132.69986893840104</v>
      </c>
      <c r="F116" s="15">
        <v>100</v>
      </c>
      <c r="G116" s="15">
        <f t="shared" ref="G116:G141" si="7">(C116+E116*0.5+F116*0.25)*J116</f>
        <v>5046395.8060288336</v>
      </c>
      <c r="J116" s="15">
        <v>32000</v>
      </c>
      <c r="P116" s="1"/>
      <c r="Q116" s="1"/>
      <c r="R116" s="1"/>
      <c r="S116" s="1"/>
      <c r="T116" s="1"/>
      <c r="U116" s="1"/>
      <c r="V116" s="1"/>
      <c r="W116" s="1"/>
    </row>
    <row r="117" spans="1:23" s="15" customFormat="1" hidden="1" x14ac:dyDescent="0.25">
      <c r="A117" s="15">
        <v>2</v>
      </c>
      <c r="B117" s="15" t="s">
        <v>63</v>
      </c>
      <c r="C117" s="15">
        <v>133.20116641367741</v>
      </c>
      <c r="E117" s="15">
        <v>27</v>
      </c>
      <c r="G117" s="15">
        <f t="shared" si="7"/>
        <v>4841138.4916513544</v>
      </c>
      <c r="J117" s="72">
        <f>J82</f>
        <v>33000</v>
      </c>
      <c r="K117" s="72"/>
      <c r="P117" s="1"/>
      <c r="Q117" s="1"/>
      <c r="R117" s="1"/>
      <c r="S117" s="1"/>
      <c r="T117" s="1"/>
      <c r="U117" s="1"/>
      <c r="V117" s="1"/>
      <c r="W117" s="1"/>
    </row>
    <row r="118" spans="1:23" s="15" customFormat="1" hidden="1" x14ac:dyDescent="0.25">
      <c r="A118" s="15">
        <v>3</v>
      </c>
      <c r="B118" s="15" t="s">
        <v>63</v>
      </c>
      <c r="C118" s="15">
        <v>130.50241835551824</v>
      </c>
      <c r="E118" s="15">
        <v>27</v>
      </c>
      <c r="G118" s="15">
        <f t="shared" si="7"/>
        <v>4752079.8057321021</v>
      </c>
      <c r="J118" s="15">
        <f>J117</f>
        <v>33000</v>
      </c>
      <c r="P118" s="1"/>
      <c r="Q118" s="1"/>
      <c r="R118" s="1"/>
      <c r="S118" s="1"/>
      <c r="T118" s="1"/>
      <c r="U118" s="1"/>
      <c r="V118" s="1"/>
      <c r="W118" s="1"/>
    </row>
    <row r="119" spans="1:23" s="15" customFormat="1" hidden="1" x14ac:dyDescent="0.25">
      <c r="A119" s="15">
        <v>4</v>
      </c>
      <c r="B119" s="15" t="s">
        <v>64</v>
      </c>
      <c r="C119" s="15">
        <v>80.499021057258162</v>
      </c>
      <c r="E119" s="15">
        <v>27</v>
      </c>
      <c r="G119" s="15">
        <f t="shared" si="7"/>
        <v>3101967.6948895194</v>
      </c>
      <c r="J119" s="15">
        <f>J117</f>
        <v>33000</v>
      </c>
      <c r="P119" s="1"/>
      <c r="Q119" s="1"/>
      <c r="R119" s="1"/>
      <c r="S119" s="1"/>
      <c r="T119" s="1"/>
      <c r="U119" s="1"/>
      <c r="V119" s="1"/>
      <c r="W119" s="1"/>
    </row>
    <row r="120" spans="1:23" s="15" customFormat="1" hidden="1" x14ac:dyDescent="0.25">
      <c r="A120" s="15">
        <v>5</v>
      </c>
      <c r="B120" s="15" t="s">
        <v>63</v>
      </c>
      <c r="C120" s="15">
        <v>133.19999205434826</v>
      </c>
      <c r="E120" s="15">
        <v>27</v>
      </c>
      <c r="G120" s="15">
        <f t="shared" si="7"/>
        <v>4841099.7377934922</v>
      </c>
      <c r="J120" s="15">
        <f>J117</f>
        <v>33000</v>
      </c>
      <c r="P120" s="1"/>
      <c r="Q120" s="1"/>
      <c r="R120" s="1"/>
      <c r="S120" s="1"/>
      <c r="T120" s="1"/>
      <c r="U120" s="1"/>
      <c r="V120" s="1"/>
      <c r="W120" s="1"/>
    </row>
    <row r="121" spans="1:23" s="15" customFormat="1" hidden="1" x14ac:dyDescent="0.25">
      <c r="A121" s="15">
        <v>6</v>
      </c>
      <c r="B121" s="15" t="s">
        <v>63</v>
      </c>
      <c r="C121" s="15">
        <v>130.49882736415313</v>
      </c>
      <c r="E121" s="15">
        <v>27</v>
      </c>
      <c r="G121" s="15">
        <f t="shared" si="7"/>
        <v>4751961.3030170528</v>
      </c>
      <c r="J121" s="15">
        <f>J117</f>
        <v>33000</v>
      </c>
      <c r="P121" s="1"/>
      <c r="Q121" s="1"/>
      <c r="R121" s="1"/>
      <c r="S121" s="1"/>
      <c r="T121" s="1"/>
      <c r="U121" s="1"/>
      <c r="V121" s="1"/>
      <c r="W121" s="1"/>
    </row>
    <row r="122" spans="1:23" s="15" customFormat="1" hidden="1" x14ac:dyDescent="0.25">
      <c r="A122" s="15">
        <v>7</v>
      </c>
      <c r="B122" s="15" t="s">
        <v>65</v>
      </c>
      <c r="C122" s="15">
        <v>80.4986727942633</v>
      </c>
      <c r="E122" s="15">
        <v>27</v>
      </c>
      <c r="G122" s="15">
        <f t="shared" si="7"/>
        <v>3101956.202210689</v>
      </c>
      <c r="J122" s="15">
        <f>J117</f>
        <v>33000</v>
      </c>
      <c r="P122" s="1"/>
      <c r="Q122" s="1"/>
      <c r="R122" s="1"/>
      <c r="S122" s="1"/>
      <c r="T122" s="1"/>
      <c r="U122" s="1"/>
      <c r="V122" s="1"/>
      <c r="W122" s="1"/>
    </row>
    <row r="123" spans="1:23" s="15" customFormat="1" hidden="1" x14ac:dyDescent="0.25">
      <c r="A123" s="15">
        <v>8</v>
      </c>
      <c r="B123" s="15" t="s">
        <v>63</v>
      </c>
      <c r="C123" s="15">
        <v>133.19883040935673</v>
      </c>
      <c r="E123" s="15">
        <v>27</v>
      </c>
      <c r="G123" s="15">
        <f t="shared" si="7"/>
        <v>4841061.4035087721</v>
      </c>
      <c r="J123" s="15">
        <f>J117</f>
        <v>33000</v>
      </c>
      <c r="P123" s="1"/>
      <c r="Q123" s="1"/>
      <c r="R123" s="1"/>
      <c r="S123" s="1"/>
      <c r="T123" s="1"/>
      <c r="U123" s="1"/>
      <c r="V123" s="1"/>
      <c r="W123" s="1"/>
    </row>
    <row r="124" spans="1:23" s="15" customFormat="1" hidden="1" x14ac:dyDescent="0.25">
      <c r="A124" s="15">
        <v>9</v>
      </c>
      <c r="B124" s="15" t="s">
        <v>63</v>
      </c>
      <c r="C124" s="15">
        <v>130.50094876660341</v>
      </c>
      <c r="E124" s="15">
        <v>27</v>
      </c>
      <c r="G124" s="15">
        <f t="shared" si="7"/>
        <v>4752031.3092979128</v>
      </c>
      <c r="J124" s="15">
        <f>J117</f>
        <v>33000</v>
      </c>
      <c r="P124" s="1"/>
      <c r="Q124" s="1"/>
      <c r="R124" s="1"/>
      <c r="S124" s="1"/>
      <c r="T124" s="1"/>
      <c r="U124" s="1"/>
      <c r="V124" s="1"/>
      <c r="W124" s="1"/>
    </row>
    <row r="125" spans="1:23" s="15" customFormat="1" hidden="1" x14ac:dyDescent="0.25">
      <c r="A125" s="15">
        <v>10</v>
      </c>
      <c r="B125" s="15" t="s">
        <v>66</v>
      </c>
      <c r="C125" s="15">
        <v>80.498330386957377</v>
      </c>
      <c r="E125" s="15">
        <v>27</v>
      </c>
      <c r="G125" s="15">
        <f t="shared" si="7"/>
        <v>3101944.9027695935</v>
      </c>
      <c r="J125" s="15">
        <f>J117</f>
        <v>33000</v>
      </c>
      <c r="P125" s="1"/>
      <c r="Q125" s="1"/>
      <c r="R125" s="1"/>
      <c r="S125" s="1"/>
      <c r="T125" s="1"/>
      <c r="U125" s="1"/>
      <c r="V125" s="1"/>
      <c r="W125" s="1"/>
    </row>
    <row r="126" spans="1:23" s="15" customFormat="1" hidden="1" x14ac:dyDescent="0.25">
      <c r="A126" s="15">
        <v>11</v>
      </c>
      <c r="B126" s="15" t="s">
        <v>63</v>
      </c>
      <c r="C126" s="15">
        <v>133.19768127333464</v>
      </c>
      <c r="E126" s="15">
        <v>27</v>
      </c>
      <c r="G126" s="15">
        <f t="shared" si="7"/>
        <v>4841023.4820200428</v>
      </c>
      <c r="J126" s="15">
        <f>J117</f>
        <v>33000</v>
      </c>
      <c r="P126" s="1"/>
      <c r="Q126" s="1"/>
      <c r="R126" s="1"/>
      <c r="S126" s="1"/>
      <c r="T126" s="1"/>
      <c r="U126" s="1"/>
      <c r="V126" s="1"/>
      <c r="W126" s="1"/>
    </row>
    <row r="127" spans="1:23" s="15" customFormat="1" hidden="1" x14ac:dyDescent="0.25">
      <c r="A127" s="15">
        <v>12</v>
      </c>
      <c r="B127" s="15" t="s">
        <v>63</v>
      </c>
      <c r="C127" s="15">
        <v>130.49740525239818</v>
      </c>
      <c r="E127" s="15">
        <v>27</v>
      </c>
      <c r="G127" s="15">
        <f t="shared" si="7"/>
        <v>4751914.3733291402</v>
      </c>
      <c r="J127" s="15">
        <f>J117</f>
        <v>33000</v>
      </c>
      <c r="P127" s="1"/>
      <c r="Q127" s="1"/>
      <c r="R127" s="1"/>
      <c r="S127" s="1"/>
      <c r="T127" s="1"/>
      <c r="U127" s="1"/>
      <c r="V127" s="1"/>
      <c r="W127" s="1"/>
    </row>
    <row r="128" spans="1:23" s="15" customFormat="1" hidden="1" x14ac:dyDescent="0.25">
      <c r="A128" s="15">
        <v>13</v>
      </c>
      <c r="B128" s="15" t="s">
        <v>67</v>
      </c>
      <c r="C128" s="15">
        <v>80.501636278634876</v>
      </c>
      <c r="E128" s="15">
        <v>27</v>
      </c>
      <c r="G128" s="15">
        <f t="shared" si="7"/>
        <v>3102053.9971949509</v>
      </c>
      <c r="J128" s="15">
        <f>J117</f>
        <v>33000</v>
      </c>
      <c r="P128" s="1"/>
      <c r="Q128" s="1"/>
      <c r="R128" s="1"/>
      <c r="S128" s="1"/>
      <c r="T128" s="1"/>
      <c r="U128" s="1"/>
      <c r="V128" s="1"/>
      <c r="W128" s="1"/>
    </row>
    <row r="129" spans="1:23" s="15" customFormat="1" hidden="1" x14ac:dyDescent="0.25">
      <c r="A129" s="15">
        <v>14</v>
      </c>
      <c r="B129" s="15" t="s">
        <v>63</v>
      </c>
      <c r="C129" s="15">
        <v>133.20225948946484</v>
      </c>
      <c r="E129" s="15">
        <v>27</v>
      </c>
      <c r="G129" s="15">
        <f t="shared" si="7"/>
        <v>4841174.5631523393</v>
      </c>
      <c r="J129" s="15">
        <f>J117</f>
        <v>33000</v>
      </c>
      <c r="P129" s="1"/>
      <c r="Q129" s="1"/>
      <c r="R129" s="1"/>
      <c r="S129" s="1"/>
      <c r="T129" s="1"/>
      <c r="U129" s="1"/>
      <c r="V129" s="1"/>
      <c r="W129" s="1"/>
    </row>
    <row r="130" spans="1:23" s="15" customFormat="1" hidden="1" x14ac:dyDescent="0.25">
      <c r="A130" s="15">
        <v>15</v>
      </c>
      <c r="B130" s="15" t="s">
        <v>63</v>
      </c>
      <c r="C130" s="15">
        <v>130.49951124144673</v>
      </c>
      <c r="E130" s="15">
        <v>27</v>
      </c>
      <c r="G130" s="15">
        <f t="shared" si="7"/>
        <v>4751983.8709677421</v>
      </c>
      <c r="J130" s="15">
        <f>J117</f>
        <v>33000</v>
      </c>
      <c r="P130" s="1"/>
      <c r="Q130" s="1"/>
      <c r="R130" s="1"/>
      <c r="S130" s="1"/>
      <c r="T130" s="1"/>
      <c r="U130" s="1"/>
      <c r="V130" s="1"/>
      <c r="W130" s="1"/>
    </row>
    <row r="131" spans="1:23" s="15" customFormat="1" hidden="1" x14ac:dyDescent="0.25">
      <c r="A131" s="15">
        <v>16</v>
      </c>
      <c r="B131" s="15" t="s">
        <v>63</v>
      </c>
      <c r="C131" s="15">
        <v>109.49834198104007</v>
      </c>
      <c r="E131" s="15">
        <v>27</v>
      </c>
      <c r="G131" s="15">
        <f t="shared" si="7"/>
        <v>4058945.2853743224</v>
      </c>
      <c r="J131" s="15">
        <f>J117</f>
        <v>33000</v>
      </c>
      <c r="P131" s="1"/>
      <c r="Q131" s="1"/>
      <c r="R131" s="1"/>
      <c r="S131" s="1"/>
      <c r="T131" s="1"/>
      <c r="U131" s="1"/>
      <c r="V131" s="1"/>
      <c r="W131" s="1"/>
    </row>
    <row r="132" spans="1:23" s="15" customFormat="1" hidden="1" x14ac:dyDescent="0.25">
      <c r="A132" s="15">
        <v>17</v>
      </c>
      <c r="B132" s="15" t="s">
        <v>63</v>
      </c>
      <c r="C132" s="15">
        <v>133.20110428493663</v>
      </c>
      <c r="E132" s="15">
        <v>27</v>
      </c>
      <c r="G132" s="15">
        <f t="shared" si="7"/>
        <v>4841136.4414029093</v>
      </c>
      <c r="J132" s="15">
        <f>J117</f>
        <v>33000</v>
      </c>
      <c r="P132" s="1"/>
      <c r="Q132" s="1"/>
      <c r="R132" s="1"/>
      <c r="S132" s="1"/>
      <c r="T132" s="1"/>
      <c r="U132" s="1"/>
      <c r="V132" s="1"/>
      <c r="W132" s="1"/>
    </row>
    <row r="133" spans="1:23" s="15" customFormat="1" hidden="1" x14ac:dyDescent="0.25">
      <c r="A133" s="15">
        <v>18</v>
      </c>
      <c r="B133" s="15" t="s">
        <v>63</v>
      </c>
      <c r="C133" s="15">
        <v>130.50159446216068</v>
      </c>
      <c r="E133" s="15">
        <v>27</v>
      </c>
      <c r="G133" s="15">
        <f t="shared" si="7"/>
        <v>4752052.6172513021</v>
      </c>
      <c r="J133" s="15">
        <f>J117</f>
        <v>33000</v>
      </c>
      <c r="P133" s="1"/>
      <c r="Q133" s="1"/>
      <c r="R133" s="1"/>
      <c r="S133" s="1"/>
      <c r="T133" s="1"/>
      <c r="U133" s="1"/>
      <c r="V133" s="1"/>
      <c r="W133" s="1"/>
    </row>
    <row r="134" spans="1:23" s="15" customFormat="1" hidden="1" x14ac:dyDescent="0.25">
      <c r="A134" s="15">
        <v>19</v>
      </c>
      <c r="B134" s="15" t="s">
        <v>63</v>
      </c>
      <c r="C134" s="15">
        <v>109.49961234299892</v>
      </c>
      <c r="E134" s="15">
        <v>27</v>
      </c>
      <c r="G134" s="15">
        <f t="shared" si="7"/>
        <v>4058987.2073189644</v>
      </c>
      <c r="J134" s="15">
        <f>J117</f>
        <v>33000</v>
      </c>
      <c r="P134" s="1"/>
      <c r="Q134" s="1"/>
      <c r="R134" s="1"/>
      <c r="S134" s="1"/>
      <c r="T134" s="1"/>
      <c r="U134" s="1"/>
      <c r="V134" s="1"/>
      <c r="W134" s="1"/>
    </row>
    <row r="135" spans="1:23" s="15" customFormat="1" hidden="1" x14ac:dyDescent="0.25">
      <c r="A135" s="15">
        <v>20</v>
      </c>
      <c r="B135" s="15" t="s">
        <v>63</v>
      </c>
      <c r="C135" s="15">
        <v>133.19996132276157</v>
      </c>
      <c r="E135" s="15">
        <v>27</v>
      </c>
      <c r="G135" s="15">
        <f t="shared" si="7"/>
        <v>4841098.7236511316</v>
      </c>
      <c r="J135" s="15">
        <f>J117</f>
        <v>33000</v>
      </c>
      <c r="P135" s="1"/>
      <c r="Q135" s="1"/>
      <c r="R135" s="1"/>
      <c r="S135" s="1"/>
      <c r="T135" s="1"/>
      <c r="U135" s="1"/>
      <c r="V135" s="1"/>
      <c r="W135" s="1"/>
    </row>
    <row r="136" spans="1:23" s="15" customFormat="1" hidden="1" x14ac:dyDescent="0.25">
      <c r="A136" s="15">
        <v>21</v>
      </c>
      <c r="B136" s="15" t="s">
        <v>63</v>
      </c>
      <c r="C136" s="15">
        <v>130.49810474201283</v>
      </c>
      <c r="E136" s="15">
        <v>27</v>
      </c>
      <c r="G136" s="15">
        <f t="shared" si="7"/>
        <v>4751937.4564864235</v>
      </c>
      <c r="J136" s="15">
        <f>J117</f>
        <v>33000</v>
      </c>
      <c r="P136" s="1"/>
      <c r="Q136" s="1"/>
      <c r="R136" s="1"/>
      <c r="S136" s="1"/>
      <c r="T136" s="1"/>
      <c r="U136" s="1"/>
      <c r="V136" s="1"/>
      <c r="W136" s="1"/>
    </row>
    <row r="137" spans="1:23" s="15" customFormat="1" hidden="1" x14ac:dyDescent="0.25">
      <c r="A137" s="15">
        <v>22</v>
      </c>
      <c r="B137" s="15" t="s">
        <v>63</v>
      </c>
      <c r="C137" s="15">
        <v>109.5008667514157</v>
      </c>
      <c r="E137" s="15">
        <v>27</v>
      </c>
      <c r="G137" s="15">
        <f t="shared" si="7"/>
        <v>4059028.602796718</v>
      </c>
      <c r="J137" s="15">
        <f>J117</f>
        <v>33000</v>
      </c>
      <c r="P137" s="1"/>
      <c r="Q137" s="1"/>
      <c r="R137" s="1"/>
      <c r="S137" s="1"/>
      <c r="T137" s="1"/>
      <c r="U137" s="1"/>
      <c r="V137" s="1"/>
      <c r="W137" s="1"/>
    </row>
    <row r="138" spans="1:23" s="15" customFormat="1" hidden="1" x14ac:dyDescent="0.25">
      <c r="A138" s="15">
        <v>23</v>
      </c>
      <c r="B138" s="15" t="s">
        <v>79</v>
      </c>
      <c r="C138" s="15">
        <v>151.99856605126368</v>
      </c>
      <c r="F138" s="15">
        <v>40</v>
      </c>
      <c r="G138" s="15">
        <f t="shared" si="7"/>
        <v>5669949.8117942289</v>
      </c>
      <c r="J138" s="15">
        <v>35000</v>
      </c>
      <c r="P138" s="1"/>
      <c r="Q138" s="1"/>
      <c r="R138" s="1"/>
      <c r="S138" s="1"/>
      <c r="T138" s="1"/>
      <c r="U138" s="1"/>
      <c r="V138" s="1"/>
      <c r="W138" s="1"/>
    </row>
    <row r="139" spans="1:23" s="15" customFormat="1" hidden="1" x14ac:dyDescent="0.25">
      <c r="A139" s="15">
        <v>24</v>
      </c>
      <c r="B139" s="15" t="s">
        <v>79</v>
      </c>
      <c r="C139" s="15">
        <v>151.99856605126368</v>
      </c>
      <c r="F139" s="15">
        <v>40</v>
      </c>
      <c r="G139" s="15">
        <f t="shared" si="7"/>
        <v>5669949.8117942289</v>
      </c>
      <c r="J139" s="15">
        <v>35000</v>
      </c>
      <c r="P139" s="1"/>
      <c r="Q139" s="1"/>
      <c r="R139" s="1"/>
      <c r="S139" s="1"/>
      <c r="T139" s="1"/>
      <c r="U139" s="1"/>
      <c r="V139" s="1"/>
      <c r="W139" s="1"/>
    </row>
    <row r="140" spans="1:23" s="15" customFormat="1" hidden="1" x14ac:dyDescent="0.25">
      <c r="A140" s="15">
        <v>25</v>
      </c>
      <c r="B140" s="15" t="s">
        <v>80</v>
      </c>
      <c r="C140" s="15">
        <v>186.99974875273679</v>
      </c>
      <c r="F140" s="15">
        <v>70</v>
      </c>
      <c r="G140" s="15">
        <f t="shared" si="7"/>
        <v>7157491.2063457873</v>
      </c>
      <c r="J140" s="15">
        <v>35000</v>
      </c>
      <c r="P140" s="1"/>
      <c r="Q140" s="1"/>
      <c r="R140" s="1"/>
      <c r="S140" s="1"/>
      <c r="T140" s="1"/>
      <c r="U140" s="1"/>
      <c r="V140" s="1"/>
      <c r="W140" s="1"/>
    </row>
    <row r="141" spans="1:23" s="15" customFormat="1" hidden="1" x14ac:dyDescent="0.25">
      <c r="A141" s="15">
        <v>26</v>
      </c>
      <c r="B141" s="15" t="s">
        <v>80</v>
      </c>
      <c r="C141" s="15">
        <v>186.99974875273679</v>
      </c>
      <c r="F141" s="15">
        <v>70</v>
      </c>
      <c r="G141" s="15">
        <f t="shared" si="7"/>
        <v>7157491.2063457873</v>
      </c>
      <c r="J141" s="15">
        <v>35000</v>
      </c>
    </row>
    <row r="142" spans="1:23" s="15" customFormat="1" ht="13.5" hidden="1" thickBot="1" x14ac:dyDescent="0.35">
      <c r="G142" s="64">
        <f>SUM(G116:G141)</f>
        <v>122437855.31412533</v>
      </c>
      <c r="H142" s="85"/>
      <c r="I142" s="85"/>
    </row>
    <row r="143" spans="1:23" s="15" customFormat="1" hidden="1" x14ac:dyDescent="0.25"/>
    <row r="144" spans="1:23" s="15" customFormat="1" hidden="1" x14ac:dyDescent="0.25"/>
    <row r="145" spans="1:11" s="15" customFormat="1" ht="13" hidden="1" x14ac:dyDescent="0.3">
      <c r="A145" s="43" t="s">
        <v>71</v>
      </c>
    </row>
    <row r="146" spans="1:11" s="15" customFormat="1" ht="13" hidden="1" x14ac:dyDescent="0.3">
      <c r="A146" s="43" t="s">
        <v>72</v>
      </c>
      <c r="B146" s="43" t="s">
        <v>0</v>
      </c>
      <c r="C146" s="43" t="s">
        <v>6</v>
      </c>
      <c r="D146" s="43"/>
      <c r="E146" s="43" t="s">
        <v>7</v>
      </c>
      <c r="F146" s="43" t="s">
        <v>37</v>
      </c>
      <c r="G146" s="43" t="s">
        <v>35</v>
      </c>
      <c r="H146" s="43"/>
      <c r="I146" s="43"/>
      <c r="J146" s="43" t="s">
        <v>34</v>
      </c>
      <c r="K146" s="43"/>
    </row>
    <row r="147" spans="1:11" s="15" customFormat="1" hidden="1" x14ac:dyDescent="0.25">
      <c r="A147" s="15">
        <v>1</v>
      </c>
      <c r="B147" s="15" t="s">
        <v>62</v>
      </c>
      <c r="C147" s="15">
        <v>127.60001302040949</v>
      </c>
      <c r="F147" s="15">
        <v>100</v>
      </c>
      <c r="G147" s="15">
        <f t="shared" ref="G147:G171" si="8">(C147+E147*0.5+F147*0.25)*J147</f>
        <v>4883200.4166531041</v>
      </c>
      <c r="J147" s="15">
        <v>32000</v>
      </c>
    </row>
    <row r="148" spans="1:11" s="15" customFormat="1" hidden="1" x14ac:dyDescent="0.25">
      <c r="A148" s="15">
        <v>2</v>
      </c>
      <c r="B148" s="15" t="s">
        <v>63</v>
      </c>
      <c r="C148" s="15">
        <v>128.0984091454153</v>
      </c>
      <c r="E148" s="15">
        <v>27</v>
      </c>
      <c r="G148" s="15">
        <f t="shared" si="8"/>
        <v>4672747.5017987052</v>
      </c>
      <c r="J148" s="72">
        <f>J82</f>
        <v>33000</v>
      </c>
      <c r="K148" s="72"/>
    </row>
    <row r="149" spans="1:11" s="15" customFormat="1" hidden="1" x14ac:dyDescent="0.25">
      <c r="A149" s="15">
        <v>3</v>
      </c>
      <c r="B149" s="15" t="s">
        <v>63</v>
      </c>
      <c r="C149" s="15">
        <v>128.0984091454153</v>
      </c>
      <c r="E149" s="15">
        <v>27</v>
      </c>
      <c r="G149" s="15">
        <f t="shared" si="8"/>
        <v>4672747.5017987052</v>
      </c>
      <c r="J149" s="15">
        <f>J148</f>
        <v>33000</v>
      </c>
    </row>
    <row r="150" spans="1:11" s="15" customFormat="1" hidden="1" x14ac:dyDescent="0.25">
      <c r="A150" s="15">
        <v>4</v>
      </c>
      <c r="B150" s="15" t="s">
        <v>64</v>
      </c>
      <c r="C150" s="15">
        <v>80.499021057258162</v>
      </c>
      <c r="E150" s="15">
        <v>27</v>
      </c>
      <c r="G150" s="15">
        <f t="shared" si="8"/>
        <v>3101967.6948895194</v>
      </c>
      <c r="J150" s="15">
        <f>J148</f>
        <v>33000</v>
      </c>
    </row>
    <row r="151" spans="1:11" s="15" customFormat="1" hidden="1" x14ac:dyDescent="0.25">
      <c r="A151" s="15">
        <v>5</v>
      </c>
      <c r="B151" s="15" t="s">
        <v>63</v>
      </c>
      <c r="C151" s="15">
        <v>128.1025875432251</v>
      </c>
      <c r="E151" s="15">
        <v>27</v>
      </c>
      <c r="G151" s="15">
        <f t="shared" si="8"/>
        <v>4672885.3889264278</v>
      </c>
      <c r="J151" s="15">
        <f>J148</f>
        <v>33000</v>
      </c>
    </row>
    <row r="152" spans="1:11" s="15" customFormat="1" hidden="1" x14ac:dyDescent="0.25">
      <c r="A152" s="15">
        <v>6</v>
      </c>
      <c r="B152" s="15" t="s">
        <v>63</v>
      </c>
      <c r="C152" s="15">
        <v>128.1025875432251</v>
      </c>
      <c r="E152" s="15">
        <v>27</v>
      </c>
      <c r="G152" s="15">
        <f t="shared" si="8"/>
        <v>4672885.3889264278</v>
      </c>
      <c r="J152" s="15">
        <f>J148</f>
        <v>33000</v>
      </c>
    </row>
    <row r="153" spans="1:11" s="15" customFormat="1" hidden="1" x14ac:dyDescent="0.25">
      <c r="A153" s="15">
        <v>7</v>
      </c>
      <c r="B153" s="15" t="s">
        <v>65</v>
      </c>
      <c r="C153" s="15">
        <v>80.4986727942633</v>
      </c>
      <c r="E153" s="15">
        <v>27</v>
      </c>
      <c r="G153" s="15">
        <f t="shared" si="8"/>
        <v>3101956.202210689</v>
      </c>
      <c r="J153" s="15">
        <f>J148</f>
        <v>33000</v>
      </c>
    </row>
    <row r="154" spans="1:11" s="15" customFormat="1" hidden="1" x14ac:dyDescent="0.25">
      <c r="A154" s="15">
        <v>8</v>
      </c>
      <c r="B154" s="15" t="s">
        <v>63</v>
      </c>
      <c r="C154" s="15">
        <v>128.10114224734201</v>
      </c>
      <c r="E154" s="15">
        <v>27</v>
      </c>
      <c r="G154" s="15">
        <f t="shared" si="8"/>
        <v>4672837.6941622868</v>
      </c>
      <c r="J154" s="15">
        <f>J148</f>
        <v>33000</v>
      </c>
    </row>
    <row r="155" spans="1:11" s="15" customFormat="1" hidden="1" x14ac:dyDescent="0.25">
      <c r="A155" s="15">
        <v>9</v>
      </c>
      <c r="B155" s="15" t="s">
        <v>63</v>
      </c>
      <c r="C155" s="15">
        <v>128.10114224734201</v>
      </c>
      <c r="E155" s="15">
        <v>27</v>
      </c>
      <c r="G155" s="15">
        <f t="shared" si="8"/>
        <v>4672837.6941622868</v>
      </c>
      <c r="J155" s="15">
        <f>J148</f>
        <v>33000</v>
      </c>
    </row>
    <row r="156" spans="1:11" s="15" customFormat="1" hidden="1" x14ac:dyDescent="0.25">
      <c r="A156" s="15">
        <v>10</v>
      </c>
      <c r="B156" s="15" t="s">
        <v>66</v>
      </c>
      <c r="C156" s="15">
        <v>80.498330386957377</v>
      </c>
      <c r="E156" s="15">
        <v>27</v>
      </c>
      <c r="G156" s="15">
        <f t="shared" si="8"/>
        <v>3101944.9027695935</v>
      </c>
      <c r="J156" s="15">
        <f>J148</f>
        <v>33000</v>
      </c>
    </row>
    <row r="157" spans="1:11" s="15" customFormat="1" hidden="1" x14ac:dyDescent="0.25">
      <c r="A157" s="15">
        <v>11</v>
      </c>
      <c r="B157" s="15" t="s">
        <v>63</v>
      </c>
      <c r="C157" s="15">
        <v>128.09971308414887</v>
      </c>
      <c r="E157" s="15">
        <v>27</v>
      </c>
      <c r="G157" s="15">
        <f t="shared" si="8"/>
        <v>4672790.5317769125</v>
      </c>
      <c r="J157" s="15">
        <f>J148</f>
        <v>33000</v>
      </c>
    </row>
    <row r="158" spans="1:11" s="15" customFormat="1" hidden="1" x14ac:dyDescent="0.25">
      <c r="A158" s="15">
        <v>12</v>
      </c>
      <c r="B158" s="15" t="s">
        <v>63</v>
      </c>
      <c r="C158" s="15">
        <v>128.09971308414887</v>
      </c>
      <c r="E158" s="15">
        <v>27</v>
      </c>
      <c r="G158" s="15">
        <f t="shared" si="8"/>
        <v>4672790.5317769125</v>
      </c>
      <c r="J158" s="15">
        <f>J148</f>
        <v>33000</v>
      </c>
    </row>
    <row r="159" spans="1:11" s="15" customFormat="1" hidden="1" x14ac:dyDescent="0.25">
      <c r="A159" s="15">
        <v>13</v>
      </c>
      <c r="B159" s="15" t="s">
        <v>67</v>
      </c>
      <c r="C159" s="15">
        <v>80.501636278634876</v>
      </c>
      <c r="E159" s="15">
        <v>27</v>
      </c>
      <c r="G159" s="15">
        <f t="shared" si="8"/>
        <v>3102053.9971949509</v>
      </c>
      <c r="J159" s="15">
        <f>J148</f>
        <v>33000</v>
      </c>
    </row>
    <row r="160" spans="1:11" s="15" customFormat="1" hidden="1" x14ac:dyDescent="0.25">
      <c r="A160" s="15">
        <v>14</v>
      </c>
      <c r="B160" s="15" t="s">
        <v>63</v>
      </c>
      <c r="C160" s="15">
        <v>128.09829978503029</v>
      </c>
      <c r="E160" s="15">
        <v>27</v>
      </c>
      <c r="G160" s="15">
        <f t="shared" si="8"/>
        <v>4672743.8929059999</v>
      </c>
      <c r="J160" s="15">
        <f>J148</f>
        <v>33000</v>
      </c>
    </row>
    <row r="161" spans="1:10" s="15" customFormat="1" hidden="1" x14ac:dyDescent="0.25">
      <c r="A161" s="15">
        <v>15</v>
      </c>
      <c r="B161" s="15" t="s">
        <v>63</v>
      </c>
      <c r="C161" s="15">
        <v>128.09829978503029</v>
      </c>
      <c r="E161" s="15">
        <v>27</v>
      </c>
      <c r="G161" s="15">
        <f t="shared" si="8"/>
        <v>4672743.8929059999</v>
      </c>
      <c r="J161" s="15">
        <f>J148</f>
        <v>33000</v>
      </c>
    </row>
    <row r="162" spans="1:10" s="15" customFormat="1" hidden="1" x14ac:dyDescent="0.25">
      <c r="A162" s="15">
        <v>16</v>
      </c>
      <c r="B162" s="15" t="s">
        <v>68</v>
      </c>
      <c r="C162" s="15">
        <v>80.501275017386604</v>
      </c>
      <c r="E162" s="15">
        <v>27</v>
      </c>
      <c r="G162" s="15">
        <f t="shared" si="8"/>
        <v>3102042.0755737578</v>
      </c>
      <c r="J162" s="15">
        <f>J148</f>
        <v>33000</v>
      </c>
    </row>
    <row r="163" spans="1:10" s="15" customFormat="1" hidden="1" x14ac:dyDescent="0.25">
      <c r="A163" s="15">
        <v>17</v>
      </c>
      <c r="B163" s="15" t="s">
        <v>63</v>
      </c>
      <c r="C163" s="15">
        <v>128.10238669050767</v>
      </c>
      <c r="E163" s="15">
        <v>27</v>
      </c>
      <c r="G163" s="15">
        <f t="shared" si="8"/>
        <v>4672878.7607867531</v>
      </c>
      <c r="J163" s="15">
        <f>J148</f>
        <v>33000</v>
      </c>
    </row>
    <row r="164" spans="1:10" s="15" customFormat="1" hidden="1" x14ac:dyDescent="0.25">
      <c r="A164" s="15">
        <v>18</v>
      </c>
      <c r="B164" s="15" t="s">
        <v>63</v>
      </c>
      <c r="C164" s="15">
        <v>128.10238669050767</v>
      </c>
      <c r="E164" s="15">
        <v>27</v>
      </c>
      <c r="G164" s="15">
        <f t="shared" si="8"/>
        <v>4672878.7607867531</v>
      </c>
      <c r="J164" s="15">
        <f>J148</f>
        <v>33000</v>
      </c>
    </row>
    <row r="165" spans="1:10" s="15" customFormat="1" hidden="1" x14ac:dyDescent="0.25">
      <c r="A165" s="15">
        <v>19</v>
      </c>
      <c r="B165" s="15" t="s">
        <v>69</v>
      </c>
      <c r="C165" s="15">
        <v>80.500919681177194</v>
      </c>
      <c r="E165" s="15">
        <v>27</v>
      </c>
      <c r="G165" s="15">
        <f t="shared" si="8"/>
        <v>3102030.3494788473</v>
      </c>
      <c r="J165" s="15">
        <f>J148</f>
        <v>33000</v>
      </c>
    </row>
    <row r="166" spans="1:10" s="15" customFormat="1" hidden="1" x14ac:dyDescent="0.25">
      <c r="A166" s="15">
        <v>20</v>
      </c>
      <c r="B166" s="15" t="s">
        <v>63</v>
      </c>
      <c r="C166" s="15">
        <v>128.10097417658884</v>
      </c>
      <c r="E166" s="15">
        <v>27</v>
      </c>
      <c r="G166" s="15">
        <f t="shared" si="8"/>
        <v>4672832.1478274316</v>
      </c>
      <c r="J166" s="15">
        <f>J148</f>
        <v>33000</v>
      </c>
    </row>
    <row r="167" spans="1:10" s="15" customFormat="1" hidden="1" x14ac:dyDescent="0.25">
      <c r="A167" s="15">
        <v>21</v>
      </c>
      <c r="B167" s="15" t="s">
        <v>63</v>
      </c>
      <c r="C167" s="15">
        <v>128.10097417658884</v>
      </c>
      <c r="E167" s="15">
        <v>27</v>
      </c>
      <c r="G167" s="15">
        <f t="shared" si="8"/>
        <v>4672832.1478274316</v>
      </c>
      <c r="J167" s="15">
        <f>J148</f>
        <v>33000</v>
      </c>
    </row>
    <row r="168" spans="1:10" s="15" customFormat="1" hidden="1" x14ac:dyDescent="0.25">
      <c r="A168" s="15">
        <v>22</v>
      </c>
      <c r="B168" s="15" t="s">
        <v>79</v>
      </c>
      <c r="C168" s="15">
        <v>138.99856605126368</v>
      </c>
      <c r="E168" s="15">
        <v>27</v>
      </c>
      <c r="G168" s="15">
        <f t="shared" si="8"/>
        <v>5032452.6796917012</v>
      </c>
      <c r="J168" s="15">
        <f>J148</f>
        <v>33000</v>
      </c>
    </row>
    <row r="169" spans="1:10" s="15" customFormat="1" hidden="1" x14ac:dyDescent="0.25">
      <c r="A169" s="15">
        <v>23</v>
      </c>
      <c r="B169" s="15" t="s">
        <v>79</v>
      </c>
      <c r="C169" s="15">
        <v>151.99856605126368</v>
      </c>
      <c r="F169" s="15">
        <v>40</v>
      </c>
      <c r="G169" s="15">
        <f t="shared" si="8"/>
        <v>5669949.8117942289</v>
      </c>
      <c r="J169" s="15">
        <v>35000</v>
      </c>
    </row>
    <row r="170" spans="1:10" s="15" customFormat="1" hidden="1" x14ac:dyDescent="0.25">
      <c r="A170" s="15">
        <v>24</v>
      </c>
      <c r="B170" s="15" t="s">
        <v>80</v>
      </c>
      <c r="C170" s="15">
        <v>186.99974875273679</v>
      </c>
      <c r="F170" s="15">
        <v>40</v>
      </c>
      <c r="G170" s="15">
        <f t="shared" si="8"/>
        <v>6894991.2063457873</v>
      </c>
      <c r="J170" s="15">
        <v>35000</v>
      </c>
    </row>
    <row r="171" spans="1:10" s="15" customFormat="1" hidden="1" x14ac:dyDescent="0.25">
      <c r="A171" s="15">
        <v>25</v>
      </c>
      <c r="B171" s="15" t="s">
        <v>80</v>
      </c>
      <c r="C171" s="15">
        <v>186.99974875273679</v>
      </c>
      <c r="F171" s="15">
        <v>70</v>
      </c>
      <c r="G171" s="15">
        <f t="shared" si="8"/>
        <v>7157491.2063457873</v>
      </c>
      <c r="J171" s="15">
        <v>35000</v>
      </c>
    </row>
    <row r="172" spans="1:10" s="15" customFormat="1" ht="13.5" hidden="1" thickBot="1" x14ac:dyDescent="0.35">
      <c r="G172" s="64">
        <f>SUM(G147:G171)</f>
        <v>113669512.37931702</v>
      </c>
      <c r="H172" s="85"/>
      <c r="I172" s="85"/>
    </row>
    <row r="173" spans="1:10" s="15" customFormat="1" hidden="1" x14ac:dyDescent="0.25"/>
    <row r="174" spans="1:10" s="15" customFormat="1" hidden="1" x14ac:dyDescent="0.25"/>
    <row r="175" spans="1:10" s="15" customFormat="1" hidden="1" x14ac:dyDescent="0.25"/>
    <row r="176" spans="1:10" s="15" customFormat="1" hidden="1" x14ac:dyDescent="0.25"/>
    <row r="177" spans="1:4" s="15" customFormat="1" hidden="1" x14ac:dyDescent="0.25"/>
    <row r="178" spans="1:4" s="15" customFormat="1" hidden="1" x14ac:dyDescent="0.25"/>
    <row r="179" spans="1:4" s="15" customFormat="1" ht="13" hidden="1" x14ac:dyDescent="0.3">
      <c r="B179" s="43" t="s">
        <v>76</v>
      </c>
      <c r="C179" s="43" t="s">
        <v>77</v>
      </c>
      <c r="D179" s="43"/>
    </row>
    <row r="180" spans="1:4" s="15" customFormat="1" hidden="1" x14ac:dyDescent="0.25">
      <c r="A180" s="15" t="s">
        <v>73</v>
      </c>
      <c r="B180" s="15">
        <v>3</v>
      </c>
      <c r="C180" s="15">
        <v>1</v>
      </c>
    </row>
    <row r="181" spans="1:4" s="15" customFormat="1" hidden="1" x14ac:dyDescent="0.25">
      <c r="A181" s="15" t="s">
        <v>75</v>
      </c>
      <c r="C181" s="15">
        <v>1</v>
      </c>
    </row>
    <row r="182" spans="1:4" s="15" customFormat="1" hidden="1" x14ac:dyDescent="0.25">
      <c r="A182" s="15" t="s">
        <v>74</v>
      </c>
      <c r="B182" s="15">
        <v>1</v>
      </c>
      <c r="C182" s="15">
        <v>1</v>
      </c>
    </row>
    <row r="183" spans="1:4" s="15" customFormat="1" hidden="1" x14ac:dyDescent="0.25"/>
    <row r="184" spans="1:4" s="15" customFormat="1" hidden="1" x14ac:dyDescent="0.25"/>
    <row r="185" spans="1:4" s="15" customFormat="1" hidden="1" x14ac:dyDescent="0.25"/>
    <row r="186" spans="1:4" s="15" customFormat="1" hidden="1" x14ac:dyDescent="0.25"/>
    <row r="187" spans="1:4" s="15" customFormat="1" hidden="1" x14ac:dyDescent="0.25"/>
    <row r="188" spans="1:4" s="15" customFormat="1" hidden="1" x14ac:dyDescent="0.25"/>
    <row r="189" spans="1:4" s="15" customFormat="1" hidden="1" x14ac:dyDescent="0.25"/>
    <row r="190" spans="1:4" s="15" customFormat="1" hidden="1" x14ac:dyDescent="0.25"/>
    <row r="191" spans="1:4" s="15" customFormat="1" hidden="1" x14ac:dyDescent="0.25"/>
    <row r="192" spans="1:4" s="15" customFormat="1" hidden="1" x14ac:dyDescent="0.25"/>
    <row r="193" s="15" customFormat="1" hidden="1" x14ac:dyDescent="0.25"/>
    <row r="194" s="15" customFormat="1" hidden="1" x14ac:dyDescent="0.25"/>
    <row r="195" s="15" customFormat="1" hidden="1" x14ac:dyDescent="0.25"/>
    <row r="196" s="15" customFormat="1" hidden="1" x14ac:dyDescent="0.25"/>
    <row r="197" s="15" customFormat="1" hidden="1" x14ac:dyDescent="0.25"/>
    <row r="198" s="15" customFormat="1" hidden="1" x14ac:dyDescent="0.25"/>
    <row r="199" s="15" customFormat="1" hidden="1" x14ac:dyDescent="0.25"/>
    <row r="200" s="15" customFormat="1" hidden="1" x14ac:dyDescent="0.25"/>
    <row r="201" s="15" customFormat="1" hidden="1" x14ac:dyDescent="0.25"/>
    <row r="202" s="15" customFormat="1" hidden="1" x14ac:dyDescent="0.25"/>
    <row r="203" s="15" customFormat="1" hidden="1" x14ac:dyDescent="0.25"/>
    <row r="204" s="15" customFormat="1" hidden="1" x14ac:dyDescent="0.25"/>
    <row r="205" s="15" customFormat="1" hidden="1" x14ac:dyDescent="0.25"/>
    <row r="206" s="15" customFormat="1" hidden="1" x14ac:dyDescent="0.25"/>
    <row r="207" s="15" customFormat="1" hidden="1" x14ac:dyDescent="0.25"/>
    <row r="208" s="15" customFormat="1" hidden="1" x14ac:dyDescent="0.25"/>
    <row r="209" s="15" customFormat="1" hidden="1" x14ac:dyDescent="0.25"/>
    <row r="210" s="15" customFormat="1" hidden="1" x14ac:dyDescent="0.25"/>
    <row r="211" s="15" customFormat="1" hidden="1" x14ac:dyDescent="0.25"/>
    <row r="212" s="15" customFormat="1" hidden="1" x14ac:dyDescent="0.25"/>
    <row r="213" s="15" customFormat="1" hidden="1" x14ac:dyDescent="0.25"/>
    <row r="214" s="15" customFormat="1" hidden="1" x14ac:dyDescent="0.25"/>
    <row r="215" s="15" customFormat="1" hidden="1" x14ac:dyDescent="0.25"/>
    <row r="216" s="15" customFormat="1" hidden="1" x14ac:dyDescent="0.25"/>
    <row r="217" s="15" customFormat="1" hidden="1" x14ac:dyDescent="0.25"/>
    <row r="218" s="15" customFormat="1" hidden="1" x14ac:dyDescent="0.25"/>
    <row r="219" s="15" customFormat="1" hidden="1" x14ac:dyDescent="0.25"/>
    <row r="220" s="15" customFormat="1" hidden="1" x14ac:dyDescent="0.25"/>
    <row r="221" s="15" customFormat="1" hidden="1" x14ac:dyDescent="0.25"/>
    <row r="222" s="15" customFormat="1" hidden="1" x14ac:dyDescent="0.25"/>
    <row r="223" s="15" customFormat="1" hidden="1" x14ac:dyDescent="0.25"/>
    <row r="224" s="15" customFormat="1" hidden="1" x14ac:dyDescent="0.25"/>
    <row r="225" spans="1:1" s="15" customFormat="1" hidden="1" x14ac:dyDescent="0.25"/>
    <row r="226" spans="1:1" s="15" customFormat="1" hidden="1" x14ac:dyDescent="0.25"/>
    <row r="227" spans="1:1" s="15" customFormat="1" hidden="1" x14ac:dyDescent="0.25"/>
    <row r="228" spans="1:1" s="15" customFormat="1" hidden="1" x14ac:dyDescent="0.25"/>
    <row r="229" spans="1:1" s="15" customFormat="1" hidden="1" x14ac:dyDescent="0.25"/>
    <row r="230" spans="1:1" s="15" customFormat="1" hidden="1" x14ac:dyDescent="0.25"/>
    <row r="231" spans="1:1" s="15" customFormat="1" hidden="1" x14ac:dyDescent="0.25"/>
    <row r="232" spans="1:1" s="15" customFormat="1" hidden="1" x14ac:dyDescent="0.25"/>
    <row r="233" spans="1:1" s="15" customFormat="1" hidden="1" x14ac:dyDescent="0.25"/>
    <row r="234" spans="1:1" s="15" customFormat="1" hidden="1" x14ac:dyDescent="0.25"/>
    <row r="235" spans="1:1" s="15" customFormat="1" hidden="1" x14ac:dyDescent="0.25"/>
    <row r="236" spans="1:1" s="15" customFormat="1" hidden="1" x14ac:dyDescent="0.25"/>
    <row r="237" spans="1:1" s="15" customFormat="1" ht="13" hidden="1" x14ac:dyDescent="0.3">
      <c r="A237" s="59"/>
    </row>
    <row r="238" spans="1:1" s="15" customFormat="1" hidden="1" x14ac:dyDescent="0.25">
      <c r="A238" s="41"/>
    </row>
    <row r="239" spans="1:1" s="15" customFormat="1" hidden="1" x14ac:dyDescent="0.25">
      <c r="A239" s="41"/>
    </row>
    <row r="240" spans="1:1" s="15" customFormat="1" hidden="1" x14ac:dyDescent="0.25">
      <c r="A240" s="41"/>
    </row>
    <row r="241" spans="1:15" s="15" customFormat="1" hidden="1" x14ac:dyDescent="0.25"/>
    <row r="242" spans="1:15" s="15" customFormat="1" hidden="1" x14ac:dyDescent="0.25"/>
    <row r="243" spans="1:15" s="15" customFormat="1" hidden="1" x14ac:dyDescent="0.25">
      <c r="A243" s="41"/>
      <c r="C243" s="41"/>
      <c r="D243" s="41"/>
    </row>
    <row r="244" spans="1:15" s="15" customFormat="1" hidden="1" x14ac:dyDescent="0.25"/>
    <row r="245" spans="1:15" s="15" customFormat="1" hidden="1" x14ac:dyDescent="0.25"/>
    <row r="246" spans="1:15" s="15" customFormat="1" hidden="1" x14ac:dyDescent="0.25"/>
    <row r="247" spans="1:15" s="15" customFormat="1" hidden="1" x14ac:dyDescent="0.25"/>
    <row r="248" spans="1:15" s="15" customFormat="1" hidden="1" x14ac:dyDescent="0.25"/>
    <row r="249" spans="1:15" s="15" customFormat="1" hidden="1" x14ac:dyDescent="0.25"/>
    <row r="250" spans="1:15" s="15" customFormat="1" hidden="1" x14ac:dyDescent="0.25"/>
    <row r="251" spans="1:15" hidden="1" x14ac:dyDescent="0.25">
      <c r="A251" s="15"/>
      <c r="B251" s="15"/>
      <c r="C251" s="15"/>
      <c r="D251" s="15"/>
      <c r="F251" s="15"/>
      <c r="G251" s="15"/>
      <c r="H251" s="15"/>
      <c r="I251" s="15"/>
      <c r="J251" s="15"/>
      <c r="K251" s="15"/>
    </row>
    <row r="252" spans="1:15" hidden="1" x14ac:dyDescent="0.25">
      <c r="A252" s="15"/>
      <c r="B252" s="15"/>
      <c r="C252" s="15"/>
      <c r="D252" s="15"/>
    </row>
    <row r="253" spans="1:15" hidden="1" x14ac:dyDescent="0.25"/>
    <row r="254" spans="1:15" hidden="1" x14ac:dyDescent="0.25">
      <c r="A254" s="1" t="s">
        <v>60</v>
      </c>
    </row>
    <row r="255" spans="1:15" hidden="1" x14ac:dyDescent="0.25"/>
    <row r="256" spans="1:15" hidden="1" x14ac:dyDescent="0.25">
      <c r="C256" s="1" t="s">
        <v>34</v>
      </c>
      <c r="F256" s="1" t="s">
        <v>35</v>
      </c>
      <c r="G256" s="1" t="s">
        <v>36</v>
      </c>
      <c r="J256" s="1" t="s">
        <v>6</v>
      </c>
      <c r="M256" s="1" t="s">
        <v>7</v>
      </c>
      <c r="N256" s="1" t="s">
        <v>37</v>
      </c>
      <c r="O256" s="1" t="s">
        <v>0</v>
      </c>
    </row>
    <row r="257" spans="1:21" hidden="1" x14ac:dyDescent="0.25">
      <c r="A257" s="1" t="s">
        <v>8</v>
      </c>
      <c r="C257" s="1" t="str">
        <f>LEFT(A257,9)</f>
        <v xml:space="preserve">₪ 30,615 </v>
      </c>
      <c r="E257" s="1" t="str">
        <f>LEFT(A257,20)</f>
        <v>₪ 30,615 ₪ 3,980,000</v>
      </c>
      <c r="F257" s="1" t="str">
        <f>RIGHT(E257,9)</f>
        <v>3,980,000</v>
      </c>
      <c r="G257" s="1">
        <f>F257/1.17</f>
        <v>3401709.401709402</v>
      </c>
      <c r="J257" s="1" t="e">
        <f>F257/C257</f>
        <v>#VALUE!</v>
      </c>
      <c r="L257" s="1">
        <v>1</v>
      </c>
      <c r="N257" s="1">
        <v>100</v>
      </c>
      <c r="O257" s="61" t="str">
        <f>LEFT(U257,20)</f>
        <v>דירת גן 5 חדרים קרקע</v>
      </c>
      <c r="U257" s="1" t="str">
        <f>RIGHT(A257,38)</f>
        <v>דירת גן 5 חדרים קרקע 3,401,709 100 130</v>
      </c>
    </row>
    <row r="258" spans="1:21" hidden="1" x14ac:dyDescent="0.25">
      <c r="A258" s="1" t="s">
        <v>9</v>
      </c>
      <c r="C258" s="1" t="str">
        <f t="shared" ref="C258:C282" si="9">LEFT(A258,9)</f>
        <v xml:space="preserve">₪ 25,034 </v>
      </c>
      <c r="E258" s="1" t="str">
        <f t="shared" ref="E258:E282" si="10">LEFT(A258,20)</f>
        <v>₪ 25,034 ₪ 3,660,000</v>
      </c>
      <c r="F258" s="1" t="str">
        <f t="shared" ref="F258:F282" si="11">RIGHT(E258,9)</f>
        <v>3,660,000</v>
      </c>
      <c r="G258" s="1">
        <f t="shared" ref="G258:G282" si="12">F258/1.17</f>
        <v>3128205.1282051285</v>
      </c>
      <c r="J258" s="1" t="e">
        <f>F258/C258-13</f>
        <v>#VALUE!</v>
      </c>
      <c r="L258" s="1">
        <v>2</v>
      </c>
      <c r="M258" s="1">
        <v>27</v>
      </c>
      <c r="O258" s="61" t="str">
        <f>LEFT(U258,13)</f>
        <v xml:space="preserve"> דירת 5 חדרים</v>
      </c>
      <c r="U258" s="1" t="str">
        <f>RIGHT(A258,30)</f>
        <v xml:space="preserve"> דירת 5 חדרים 3,128,205 27 133</v>
      </c>
    </row>
    <row r="259" spans="1:21" hidden="1" x14ac:dyDescent="0.25">
      <c r="A259" s="1" t="s">
        <v>10</v>
      </c>
      <c r="C259" s="1" t="str">
        <f t="shared" si="9"/>
        <v xml:space="preserve">₪ 25,017 </v>
      </c>
      <c r="E259" s="1" t="str">
        <f t="shared" si="10"/>
        <v>₪ 25,017 ₪ 3,590,000</v>
      </c>
      <c r="F259" s="1" t="str">
        <f t="shared" si="11"/>
        <v>3,590,000</v>
      </c>
      <c r="G259" s="1">
        <f t="shared" si="12"/>
        <v>3068376.0683760685</v>
      </c>
      <c r="J259" s="1" t="e">
        <f t="shared" ref="J259:J278" si="13">F259/C259-13</f>
        <v>#VALUE!</v>
      </c>
      <c r="L259" s="1">
        <v>3</v>
      </c>
      <c r="M259" s="1">
        <v>27</v>
      </c>
      <c r="O259" s="61" t="str">
        <f t="shared" ref="O259:O282" si="14">LEFT(U259,13)</f>
        <v xml:space="preserve"> דירת 5 חדרים</v>
      </c>
      <c r="U259" s="1" t="str">
        <f t="shared" ref="U259:U282" si="15">RIGHT(A259,30)</f>
        <v xml:space="preserve"> דירת 5 חדרים 3,068,376 27 130</v>
      </c>
    </row>
    <row r="260" spans="1:21" hidden="1" x14ac:dyDescent="0.25">
      <c r="A260" s="1" t="s">
        <v>11</v>
      </c>
      <c r="C260" s="1" t="str">
        <f t="shared" si="9"/>
        <v xml:space="preserve">₪ 25,027 </v>
      </c>
      <c r="E260" s="1" t="str">
        <f t="shared" si="10"/>
        <v>₪ 25,027 ₪ 2,340,000</v>
      </c>
      <c r="F260" s="1" t="str">
        <f t="shared" si="11"/>
        <v>2,340,000</v>
      </c>
      <c r="G260" s="1">
        <f t="shared" si="12"/>
        <v>2000000.0000000002</v>
      </c>
      <c r="J260" s="1" t="e">
        <f t="shared" si="13"/>
        <v>#VALUE!</v>
      </c>
      <c r="L260" s="1">
        <v>4</v>
      </c>
      <c r="M260" s="1">
        <v>27</v>
      </c>
      <c r="O260" s="61" t="str">
        <f t="shared" si="14"/>
        <v>4 דירת 3 חדרי</v>
      </c>
      <c r="U260" s="1" t="str">
        <f t="shared" si="15"/>
        <v>4 דירת 3 חדרים 2,000,000 27 80</v>
      </c>
    </row>
    <row r="261" spans="1:21" hidden="1" x14ac:dyDescent="0.25">
      <c r="A261" s="1" t="s">
        <v>12</v>
      </c>
      <c r="C261" s="1" t="str">
        <f t="shared" si="9"/>
        <v xml:space="preserve">₪ 25,171 </v>
      </c>
      <c r="E261" s="1" t="str">
        <f t="shared" si="10"/>
        <v>₪ 25,171 ₪ 3,680,000</v>
      </c>
      <c r="F261" s="1" t="str">
        <f t="shared" si="11"/>
        <v>3,680,000</v>
      </c>
      <c r="G261" s="1">
        <f t="shared" si="12"/>
        <v>3145299.1452991455</v>
      </c>
      <c r="J261" s="1" t="e">
        <f t="shared" si="13"/>
        <v>#VALUE!</v>
      </c>
      <c r="L261" s="1">
        <v>5</v>
      </c>
      <c r="M261" s="1">
        <v>27</v>
      </c>
      <c r="O261" s="61" t="str">
        <f t="shared" si="14"/>
        <v xml:space="preserve"> דירת 5 חדרים</v>
      </c>
      <c r="U261" s="1" t="str">
        <f t="shared" si="15"/>
        <v xml:space="preserve"> דירת 5 חדרים 3,145,299 27 133</v>
      </c>
    </row>
    <row r="262" spans="1:21" hidden="1" x14ac:dyDescent="0.25">
      <c r="A262" s="1" t="s">
        <v>13</v>
      </c>
      <c r="C262" s="1" t="str">
        <f t="shared" si="9"/>
        <v xml:space="preserve">₪ 25,157 </v>
      </c>
      <c r="E262" s="1" t="str">
        <f t="shared" si="10"/>
        <v>₪ 25,157 ₪ 3,610,000</v>
      </c>
      <c r="F262" s="1" t="str">
        <f t="shared" si="11"/>
        <v>3,610,000</v>
      </c>
      <c r="G262" s="1">
        <f t="shared" si="12"/>
        <v>3085470.0854700855</v>
      </c>
      <c r="J262" s="1" t="e">
        <f t="shared" si="13"/>
        <v>#VALUE!</v>
      </c>
      <c r="L262" s="1">
        <v>6</v>
      </c>
      <c r="M262" s="1">
        <v>27</v>
      </c>
      <c r="O262" s="61" t="str">
        <f t="shared" si="14"/>
        <v xml:space="preserve"> דירת 5 חדרים</v>
      </c>
      <c r="U262" s="1" t="str">
        <f t="shared" si="15"/>
        <v xml:space="preserve"> דירת 5 חדרים 3,085,470 27 130</v>
      </c>
    </row>
    <row r="263" spans="1:21" hidden="1" x14ac:dyDescent="0.25">
      <c r="A263" s="1" t="s">
        <v>14</v>
      </c>
      <c r="C263" s="1" t="str">
        <f t="shared" si="9"/>
        <v xml:space="preserve">₪ 25,241 </v>
      </c>
      <c r="E263" s="1" t="str">
        <f t="shared" si="10"/>
        <v>₪ 25,241 ₪ 2,360,000</v>
      </c>
      <c r="F263" s="1" t="str">
        <f t="shared" si="11"/>
        <v>2,360,000</v>
      </c>
      <c r="G263" s="1">
        <f t="shared" si="12"/>
        <v>2017094.0170940172</v>
      </c>
      <c r="J263" s="1" t="e">
        <f t="shared" si="13"/>
        <v>#VALUE!</v>
      </c>
      <c r="L263" s="1">
        <v>7</v>
      </c>
      <c r="M263" s="1">
        <v>27</v>
      </c>
      <c r="O263" s="61" t="str">
        <f t="shared" si="14"/>
        <v>7 דירת 3 חדרי</v>
      </c>
      <c r="U263" s="1" t="str">
        <f t="shared" si="15"/>
        <v>7 דירת 3 חדרים 2,017,094 27 80</v>
      </c>
    </row>
    <row r="264" spans="1:21" hidden="1" x14ac:dyDescent="0.25">
      <c r="A264" s="1" t="s">
        <v>15</v>
      </c>
      <c r="C264" s="1" t="str">
        <f t="shared" si="9"/>
        <v xml:space="preserve">₪ 25,308 </v>
      </c>
      <c r="E264" s="1" t="str">
        <f t="shared" si="10"/>
        <v>₪ 25,308 ₪ 3,700,000</v>
      </c>
      <c r="F264" s="1" t="str">
        <f t="shared" si="11"/>
        <v>3,700,000</v>
      </c>
      <c r="G264" s="1">
        <f t="shared" si="12"/>
        <v>3162393.1623931625</v>
      </c>
      <c r="J264" s="1" t="e">
        <f t="shared" si="13"/>
        <v>#VALUE!</v>
      </c>
      <c r="L264" s="1">
        <v>8</v>
      </c>
      <c r="M264" s="1">
        <v>27</v>
      </c>
      <c r="O264" s="61" t="str">
        <f t="shared" si="14"/>
        <v xml:space="preserve"> דירת 5 חדרים</v>
      </c>
      <c r="U264" s="1" t="str">
        <f t="shared" si="15"/>
        <v xml:space="preserve"> דירת 5 חדרים 3,162,393 27 133</v>
      </c>
    </row>
    <row r="265" spans="1:21" hidden="1" x14ac:dyDescent="0.25">
      <c r="A265" s="1" t="s">
        <v>16</v>
      </c>
      <c r="C265" s="1" t="str">
        <f t="shared" si="9"/>
        <v xml:space="preserve">₪ 25,296 </v>
      </c>
      <c r="E265" s="1" t="str">
        <f t="shared" si="10"/>
        <v>₪ 25,296 ₪ 3,630,000</v>
      </c>
      <c r="F265" s="1" t="str">
        <f t="shared" si="11"/>
        <v>3,630,000</v>
      </c>
      <c r="G265" s="1">
        <f t="shared" si="12"/>
        <v>3102564.102564103</v>
      </c>
      <c r="J265" s="1" t="e">
        <f t="shared" si="13"/>
        <v>#VALUE!</v>
      </c>
      <c r="L265" s="1">
        <v>9</v>
      </c>
      <c r="M265" s="1">
        <v>27</v>
      </c>
      <c r="O265" s="61" t="str">
        <f t="shared" si="14"/>
        <v xml:space="preserve"> דירת 5 חדרים</v>
      </c>
      <c r="U265" s="1" t="str">
        <f t="shared" si="15"/>
        <v xml:space="preserve"> דירת 5 חדרים 3,102,564 27 130</v>
      </c>
    </row>
    <row r="266" spans="1:21" hidden="1" x14ac:dyDescent="0.25">
      <c r="A266" s="1" t="s">
        <v>17</v>
      </c>
      <c r="C266" s="1" t="str">
        <f t="shared" si="9"/>
        <v xml:space="preserve">₪ 25,455 </v>
      </c>
      <c r="E266" s="1" t="str">
        <f t="shared" si="10"/>
        <v>₪ 25,455 ₪ 2,380,000</v>
      </c>
      <c r="F266" s="1" t="str">
        <f t="shared" si="11"/>
        <v>2,380,000</v>
      </c>
      <c r="G266" s="1">
        <f t="shared" si="12"/>
        <v>2034188.0341880342</v>
      </c>
      <c r="J266" s="1" t="e">
        <f t="shared" si="13"/>
        <v>#VALUE!</v>
      </c>
      <c r="L266" s="1">
        <v>10</v>
      </c>
      <c r="M266" s="1">
        <v>27</v>
      </c>
      <c r="O266" s="61" t="str">
        <f t="shared" si="14"/>
        <v>0 דירת 3 חדרי</v>
      </c>
      <c r="U266" s="1" t="str">
        <f t="shared" si="15"/>
        <v>0 דירת 3 חדרים 2,034,188 27 80</v>
      </c>
    </row>
    <row r="267" spans="1:21" hidden="1" x14ac:dyDescent="0.25">
      <c r="A267" s="1" t="s">
        <v>18</v>
      </c>
      <c r="C267" s="1" t="str">
        <f t="shared" si="9"/>
        <v xml:space="preserve">₪ 25,445 </v>
      </c>
      <c r="E267" s="1" t="str">
        <f t="shared" si="10"/>
        <v>₪ 25,445 ₪ 3,720,000</v>
      </c>
      <c r="F267" s="1" t="str">
        <f t="shared" si="11"/>
        <v>3,720,000</v>
      </c>
      <c r="G267" s="1">
        <f t="shared" si="12"/>
        <v>3179487.1794871795</v>
      </c>
      <c r="J267" s="1" t="e">
        <f t="shared" si="13"/>
        <v>#VALUE!</v>
      </c>
      <c r="L267" s="1">
        <v>11</v>
      </c>
      <c r="M267" s="1">
        <v>27</v>
      </c>
      <c r="O267" s="61" t="str">
        <f t="shared" si="14"/>
        <v xml:space="preserve"> דירת 5 חדרים</v>
      </c>
      <c r="U267" s="1" t="str">
        <f t="shared" si="15"/>
        <v xml:space="preserve"> דירת 5 חדרים 3,179,487 27 133</v>
      </c>
    </row>
    <row r="268" spans="1:21" hidden="1" x14ac:dyDescent="0.25">
      <c r="A268" s="1" t="s">
        <v>19</v>
      </c>
      <c r="C268" s="1" t="str">
        <f t="shared" si="9"/>
        <v xml:space="preserve">₪ 25,436 </v>
      </c>
      <c r="E268" s="1" t="str">
        <f t="shared" si="10"/>
        <v>₪ 25,436 ₪ 3,650,000</v>
      </c>
      <c r="F268" s="1" t="str">
        <f t="shared" si="11"/>
        <v>3,650,000</v>
      </c>
      <c r="G268" s="1">
        <f t="shared" si="12"/>
        <v>3119658.11965812</v>
      </c>
      <c r="J268" s="1" t="e">
        <f t="shared" si="13"/>
        <v>#VALUE!</v>
      </c>
      <c r="L268" s="1">
        <v>12</v>
      </c>
      <c r="M268" s="1">
        <v>27</v>
      </c>
      <c r="O268" s="61" t="str">
        <f t="shared" si="14"/>
        <v xml:space="preserve"> דירת 5 חדרים</v>
      </c>
      <c r="U268" s="1" t="str">
        <f t="shared" si="15"/>
        <v xml:space="preserve"> דירת 5 חדרים 3,119,658 27 130</v>
      </c>
    </row>
    <row r="269" spans="1:21" hidden="1" x14ac:dyDescent="0.25">
      <c r="A269" s="1" t="s">
        <v>20</v>
      </c>
      <c r="C269" s="1" t="str">
        <f t="shared" si="9"/>
        <v xml:space="preserve">₪ 25,668 </v>
      </c>
      <c r="E269" s="1" t="str">
        <f t="shared" si="10"/>
        <v>₪ 25,668 ₪ 2,400,000</v>
      </c>
      <c r="F269" s="1" t="str">
        <f t="shared" si="11"/>
        <v>2,400,000</v>
      </c>
      <c r="G269" s="1">
        <f t="shared" si="12"/>
        <v>2051282.0512820515</v>
      </c>
      <c r="J269" s="1" t="e">
        <f t="shared" si="13"/>
        <v>#VALUE!</v>
      </c>
      <c r="L269" s="1">
        <v>13</v>
      </c>
      <c r="M269" s="1">
        <v>27</v>
      </c>
      <c r="O269" s="61" t="str">
        <f t="shared" si="14"/>
        <v>3 דירת 3 חדרי</v>
      </c>
      <c r="U269" s="1" t="str">
        <f t="shared" si="15"/>
        <v>3 דירת 3 חדרים 2,051,282 27 80</v>
      </c>
    </row>
    <row r="270" spans="1:21" hidden="1" x14ac:dyDescent="0.25">
      <c r="A270" s="1" t="s">
        <v>21</v>
      </c>
      <c r="C270" s="1" t="str">
        <f t="shared" si="9"/>
        <v xml:space="preserve">₪ 25,581 </v>
      </c>
      <c r="E270" s="1" t="str">
        <f t="shared" si="10"/>
        <v>₪ 25,581 ₪ 3,740,000</v>
      </c>
      <c r="F270" s="1" t="str">
        <f t="shared" si="11"/>
        <v>3,740,000</v>
      </c>
      <c r="G270" s="1">
        <f t="shared" si="12"/>
        <v>3196581.196581197</v>
      </c>
      <c r="J270" s="1" t="e">
        <f t="shared" si="13"/>
        <v>#VALUE!</v>
      </c>
      <c r="L270" s="1">
        <v>14</v>
      </c>
      <c r="M270" s="1">
        <v>27</v>
      </c>
      <c r="O270" s="61" t="str">
        <f t="shared" si="14"/>
        <v xml:space="preserve"> דירת 5 חדרים</v>
      </c>
      <c r="U270" s="1" t="str">
        <f t="shared" si="15"/>
        <v xml:space="preserve"> דירת 5 חדרים 3,196,581 27 133</v>
      </c>
    </row>
    <row r="271" spans="1:21" hidden="1" x14ac:dyDescent="0.25">
      <c r="A271" s="1" t="s">
        <v>22</v>
      </c>
      <c r="C271" s="1" t="str">
        <f t="shared" si="9"/>
        <v xml:space="preserve">₪ 25,575 </v>
      </c>
      <c r="E271" s="1" t="str">
        <f t="shared" si="10"/>
        <v>₪ 25,575 ₪ 3,670,000</v>
      </c>
      <c r="F271" s="1" t="str">
        <f t="shared" si="11"/>
        <v>3,670,000</v>
      </c>
      <c r="G271" s="1">
        <f t="shared" si="12"/>
        <v>3136752.136752137</v>
      </c>
      <c r="J271" s="1" t="e">
        <f t="shared" si="13"/>
        <v>#VALUE!</v>
      </c>
      <c r="L271" s="1">
        <v>15</v>
      </c>
      <c r="M271" s="1">
        <v>27</v>
      </c>
      <c r="O271" s="61" t="str">
        <f t="shared" si="14"/>
        <v xml:space="preserve"> דירת 5 חדרים</v>
      </c>
      <c r="U271" s="1" t="str">
        <f t="shared" si="15"/>
        <v xml:space="preserve"> דירת 5 חדרים 3,136,752 27 130</v>
      </c>
    </row>
    <row r="272" spans="1:21" hidden="1" x14ac:dyDescent="0.25">
      <c r="A272" s="1" t="s">
        <v>23</v>
      </c>
      <c r="C272" s="1" t="str">
        <f t="shared" si="9"/>
        <v xml:space="preserve">₪ 25,882 </v>
      </c>
      <c r="E272" s="1" t="str">
        <f t="shared" si="10"/>
        <v>₪ 25,882 ₪ 2,420,000</v>
      </c>
      <c r="F272" s="1" t="str">
        <f t="shared" si="11"/>
        <v>2,420,000</v>
      </c>
      <c r="G272" s="1">
        <f t="shared" si="12"/>
        <v>2068376.0683760685</v>
      </c>
      <c r="J272" s="1" t="e">
        <f t="shared" si="13"/>
        <v>#VALUE!</v>
      </c>
      <c r="L272" s="1">
        <v>16</v>
      </c>
      <c r="M272" s="1">
        <v>27</v>
      </c>
      <c r="O272" s="61" t="str">
        <f t="shared" si="14"/>
        <v>6 דירת 3 חדרי</v>
      </c>
      <c r="U272" s="1" t="str">
        <f t="shared" si="15"/>
        <v>6 דירת 3 חדרים 2,068,376 27 80</v>
      </c>
    </row>
    <row r="273" spans="1:21" hidden="1" x14ac:dyDescent="0.25">
      <c r="A273" s="1" t="s">
        <v>24</v>
      </c>
      <c r="C273" s="1" t="str">
        <f t="shared" si="9"/>
        <v xml:space="preserve">₪ 25,718 </v>
      </c>
      <c r="E273" s="1" t="str">
        <f t="shared" si="10"/>
        <v>₪ 25,718 ₪ 3,760,000</v>
      </c>
      <c r="F273" s="1" t="str">
        <f t="shared" si="11"/>
        <v>3,760,000</v>
      </c>
      <c r="G273" s="1">
        <f t="shared" si="12"/>
        <v>3213675.213675214</v>
      </c>
      <c r="J273" s="1" t="e">
        <f t="shared" si="13"/>
        <v>#VALUE!</v>
      </c>
      <c r="L273" s="1">
        <v>17</v>
      </c>
      <c r="M273" s="1">
        <v>27</v>
      </c>
      <c r="O273" s="61" t="str">
        <f t="shared" si="14"/>
        <v xml:space="preserve"> דירת 5 חדרים</v>
      </c>
      <c r="U273" s="1" t="str">
        <f t="shared" si="15"/>
        <v xml:space="preserve"> דירת 5 חדרים 3,213,675 27 133</v>
      </c>
    </row>
    <row r="274" spans="1:21" hidden="1" x14ac:dyDescent="0.25">
      <c r="A274" s="1" t="s">
        <v>25</v>
      </c>
      <c r="C274" s="1" t="str">
        <f t="shared" si="9"/>
        <v xml:space="preserve">₪ 25,714 </v>
      </c>
      <c r="E274" s="1" t="str">
        <f t="shared" si="10"/>
        <v>₪ 25,714 ₪ 3,690,000</v>
      </c>
      <c r="F274" s="1" t="str">
        <f t="shared" si="11"/>
        <v>3,690,000</v>
      </c>
      <c r="G274" s="1">
        <f t="shared" si="12"/>
        <v>3153846.153846154</v>
      </c>
      <c r="J274" s="1" t="e">
        <f t="shared" si="13"/>
        <v>#VALUE!</v>
      </c>
      <c r="L274" s="1">
        <v>18</v>
      </c>
      <c r="M274" s="1">
        <v>27</v>
      </c>
      <c r="O274" s="61" t="str">
        <f t="shared" si="14"/>
        <v xml:space="preserve"> דירת 5 חדרים</v>
      </c>
      <c r="U274" s="1" t="str">
        <f t="shared" si="15"/>
        <v xml:space="preserve"> דירת 5 חדרים 3,153,846 27 130</v>
      </c>
    </row>
    <row r="275" spans="1:21" hidden="1" x14ac:dyDescent="0.25">
      <c r="A275" s="1" t="s">
        <v>26</v>
      </c>
      <c r="C275" s="1" t="str">
        <f t="shared" si="9"/>
        <v xml:space="preserve">₪ 25,796 </v>
      </c>
      <c r="E275" s="1" t="str">
        <f t="shared" si="10"/>
        <v>₪ 25,796 ₪ 3,160,000</v>
      </c>
      <c r="F275" s="1" t="str">
        <f t="shared" si="11"/>
        <v>3,160,000</v>
      </c>
      <c r="G275" s="1">
        <f t="shared" si="12"/>
        <v>2700854.700854701</v>
      </c>
      <c r="J275" s="1" t="e">
        <f t="shared" si="13"/>
        <v>#VALUE!</v>
      </c>
      <c r="L275" s="1">
        <v>19</v>
      </c>
      <c r="M275" s="1">
        <v>27</v>
      </c>
      <c r="O275" s="61" t="str">
        <f t="shared" si="14"/>
        <v xml:space="preserve"> דירת 5 חדרים</v>
      </c>
      <c r="U275" s="1" t="str">
        <f t="shared" si="15"/>
        <v xml:space="preserve"> דירת 5 חדרים 2,700,855 27 109</v>
      </c>
    </row>
    <row r="276" spans="1:21" hidden="1" x14ac:dyDescent="0.25">
      <c r="A276" s="1" t="s">
        <v>27</v>
      </c>
      <c r="C276" s="1" t="str">
        <f t="shared" si="9"/>
        <v xml:space="preserve">₪ 25,855 </v>
      </c>
      <c r="E276" s="1" t="str">
        <f t="shared" si="10"/>
        <v>₪ 25,855 ₪ 3,780,000</v>
      </c>
      <c r="F276" s="1" t="str">
        <f t="shared" si="11"/>
        <v>3,780,000</v>
      </c>
      <c r="G276" s="1">
        <f t="shared" si="12"/>
        <v>3230769.230769231</v>
      </c>
      <c r="J276" s="1" t="e">
        <f t="shared" si="13"/>
        <v>#VALUE!</v>
      </c>
      <c r="L276" s="1">
        <v>20</v>
      </c>
      <c r="M276" s="1">
        <v>27</v>
      </c>
      <c r="O276" s="61" t="str">
        <f t="shared" si="14"/>
        <v xml:space="preserve"> דירת 5 חדרים</v>
      </c>
      <c r="U276" s="1" t="str">
        <f t="shared" si="15"/>
        <v xml:space="preserve"> דירת 5 חדרים 3,230,769 27 133</v>
      </c>
    </row>
    <row r="277" spans="1:21" hidden="1" x14ac:dyDescent="0.25">
      <c r="A277" s="1" t="s">
        <v>28</v>
      </c>
      <c r="C277" s="1" t="str">
        <f t="shared" si="9"/>
        <v xml:space="preserve">₪ 25,854 </v>
      </c>
      <c r="E277" s="1" t="str">
        <f t="shared" si="10"/>
        <v>₪ 25,854 ₪ 3,710,000</v>
      </c>
      <c r="F277" s="1" t="str">
        <f t="shared" si="11"/>
        <v>3,710,000</v>
      </c>
      <c r="G277" s="1">
        <f t="shared" si="12"/>
        <v>3170940.170940171</v>
      </c>
      <c r="J277" s="1" t="e">
        <f t="shared" si="13"/>
        <v>#VALUE!</v>
      </c>
      <c r="L277" s="1">
        <v>21</v>
      </c>
      <c r="M277" s="1">
        <v>27</v>
      </c>
      <c r="O277" s="61" t="str">
        <f t="shared" si="14"/>
        <v xml:space="preserve"> דירת 5 חדרים</v>
      </c>
      <c r="U277" s="1" t="str">
        <f t="shared" si="15"/>
        <v xml:space="preserve"> דירת 5 חדרים 3,170,940 27 130</v>
      </c>
    </row>
    <row r="278" spans="1:21" hidden="1" x14ac:dyDescent="0.25">
      <c r="A278" s="1" t="s">
        <v>29</v>
      </c>
      <c r="C278" s="1" t="str">
        <f t="shared" si="9"/>
        <v xml:space="preserve">₪ 25,959 </v>
      </c>
      <c r="E278" s="1" t="str">
        <f t="shared" si="10"/>
        <v>₪ 25,959 ₪ 3,180,000</v>
      </c>
      <c r="F278" s="1" t="str">
        <f t="shared" si="11"/>
        <v>3,180,000</v>
      </c>
      <c r="G278" s="1">
        <f t="shared" si="12"/>
        <v>2717948.717948718</v>
      </c>
      <c r="J278" s="1" t="e">
        <f t="shared" si="13"/>
        <v>#VALUE!</v>
      </c>
      <c r="L278" s="1">
        <v>22</v>
      </c>
      <c r="M278" s="1">
        <v>27</v>
      </c>
      <c r="O278" s="61" t="str">
        <f t="shared" si="14"/>
        <v xml:space="preserve"> דירת 5 חדרים</v>
      </c>
      <c r="U278" s="1" t="str">
        <f t="shared" si="15"/>
        <v xml:space="preserve"> דירת 5 חדרים 2,717,949 27 109</v>
      </c>
    </row>
    <row r="279" spans="1:21" hidden="1" x14ac:dyDescent="0.25">
      <c r="A279" s="1" t="s">
        <v>30</v>
      </c>
      <c r="C279" s="1" t="str">
        <f t="shared" si="9"/>
        <v xml:space="preserve">₪ 27,895 </v>
      </c>
      <c r="E279" s="1" t="str">
        <f t="shared" si="10"/>
        <v>₪ 27,895 ₪ 4,240,000</v>
      </c>
      <c r="F279" s="1" t="str">
        <f t="shared" si="11"/>
        <v>4,240,000</v>
      </c>
      <c r="G279" s="1">
        <f t="shared" si="12"/>
        <v>3623931.623931624</v>
      </c>
      <c r="J279" s="1" t="e">
        <f t="shared" ref="J279:J282" si="16">F279/C279</f>
        <v>#VALUE!</v>
      </c>
      <c r="L279" s="1">
        <v>23</v>
      </c>
      <c r="N279" s="1">
        <v>40</v>
      </c>
      <c r="O279" s="61" t="str">
        <f t="shared" si="14"/>
        <v>טהאוז 6 חדרים</v>
      </c>
      <c r="U279" s="1" t="str">
        <f t="shared" si="15"/>
        <v>טהאוז 6 חדרים 3,623,932 40 152</v>
      </c>
    </row>
    <row r="280" spans="1:21" hidden="1" x14ac:dyDescent="0.25">
      <c r="A280" s="1" t="s">
        <v>31</v>
      </c>
      <c r="C280" s="1" t="str">
        <f t="shared" si="9"/>
        <v xml:space="preserve">₪ 27,895 </v>
      </c>
      <c r="E280" s="1" t="str">
        <f t="shared" si="10"/>
        <v>₪ 27,895 ₪ 4,240,000</v>
      </c>
      <c r="F280" s="1" t="str">
        <f t="shared" si="11"/>
        <v>4,240,000</v>
      </c>
      <c r="G280" s="1">
        <f t="shared" si="12"/>
        <v>3623931.623931624</v>
      </c>
      <c r="J280" s="1" t="e">
        <f t="shared" si="16"/>
        <v>#VALUE!</v>
      </c>
      <c r="L280" s="1">
        <v>24</v>
      </c>
      <c r="N280" s="1">
        <v>40</v>
      </c>
      <c r="O280" s="61" t="str">
        <f t="shared" si="14"/>
        <v>טהאוז 6 חדרים</v>
      </c>
      <c r="U280" s="1" t="str">
        <f t="shared" si="15"/>
        <v>טהאוז 6 חדרים 3,623,932 40 152</v>
      </c>
    </row>
    <row r="281" spans="1:21" hidden="1" x14ac:dyDescent="0.25">
      <c r="A281" s="1" t="s">
        <v>32</v>
      </c>
      <c r="C281" s="1" t="str">
        <f t="shared" si="9"/>
        <v xml:space="preserve">₪ 27,861 </v>
      </c>
      <c r="E281" s="1" t="str">
        <f t="shared" si="10"/>
        <v>₪ 27,861 ₪ 5,210,000</v>
      </c>
      <c r="F281" s="1" t="str">
        <f t="shared" si="11"/>
        <v>5,210,000</v>
      </c>
      <c r="G281" s="1">
        <f t="shared" si="12"/>
        <v>4452991.452991453</v>
      </c>
      <c r="J281" s="1" t="e">
        <f t="shared" si="16"/>
        <v>#VALUE!</v>
      </c>
      <c r="L281" s="1">
        <v>25</v>
      </c>
      <c r="N281" s="1">
        <v>70</v>
      </c>
      <c r="O281" s="61" t="str">
        <f t="shared" si="14"/>
        <v>ופלקס 5 חדרים</v>
      </c>
      <c r="U281" s="1" t="str">
        <f t="shared" si="15"/>
        <v>ופלקס 5 חדרים 4,452,991 70 187</v>
      </c>
    </row>
    <row r="282" spans="1:21" hidden="1" x14ac:dyDescent="0.25">
      <c r="A282" s="1" t="s">
        <v>33</v>
      </c>
      <c r="C282" s="1" t="str">
        <f t="shared" si="9"/>
        <v xml:space="preserve">₪ 27,861 </v>
      </c>
      <c r="E282" s="1" t="str">
        <f t="shared" si="10"/>
        <v>₪ 27,861 ₪ 5,210,000</v>
      </c>
      <c r="F282" s="1" t="str">
        <f t="shared" si="11"/>
        <v>5,210,000</v>
      </c>
      <c r="G282" s="1">
        <f t="shared" si="12"/>
        <v>4452991.452991453</v>
      </c>
      <c r="J282" s="1" t="e">
        <f t="shared" si="16"/>
        <v>#VALUE!</v>
      </c>
      <c r="L282" s="1">
        <v>26</v>
      </c>
      <c r="N282" s="1">
        <v>70</v>
      </c>
      <c r="O282" s="61" t="str">
        <f t="shared" si="14"/>
        <v>ופלקס 5 חדרים</v>
      </c>
      <c r="U282" s="1" t="str">
        <f t="shared" si="15"/>
        <v>ופלקס 5 חדרים 4,452,991 70 187</v>
      </c>
    </row>
    <row r="283" spans="1:21" hidden="1" x14ac:dyDescent="0.25"/>
    <row r="284" spans="1:21" hidden="1" x14ac:dyDescent="0.25"/>
    <row r="285" spans="1:21" hidden="1" x14ac:dyDescent="0.25"/>
    <row r="286" spans="1:21" ht="13" hidden="1" x14ac:dyDescent="0.3">
      <c r="A286" s="63" t="s">
        <v>59</v>
      </c>
    </row>
    <row r="287" spans="1:21" hidden="1" x14ac:dyDescent="0.25"/>
    <row r="288" spans="1:21" hidden="1" x14ac:dyDescent="0.25"/>
    <row r="289" spans="1:21" hidden="1" x14ac:dyDescent="0.25">
      <c r="A289" s="1" t="s">
        <v>38</v>
      </c>
      <c r="C289" s="1" t="str">
        <f>LEFT(A289,9)</f>
        <v xml:space="preserve">₪ 30,721 </v>
      </c>
      <c r="E289" s="1" t="str">
        <f t="shared" ref="E289:E313" si="17">LEFT(A289,20)</f>
        <v>₪ 30,721 ₪ 3,920,000</v>
      </c>
      <c r="F289" s="1" t="str">
        <f t="shared" ref="F289:F313" si="18">RIGHT(E289,9)</f>
        <v>3,920,000</v>
      </c>
      <c r="G289" s="1">
        <f>F289/1.17</f>
        <v>3350427.3504273505</v>
      </c>
      <c r="J289" s="1" t="e">
        <f>F289/C289</f>
        <v>#VALUE!</v>
      </c>
      <c r="L289" s="1">
        <v>1</v>
      </c>
      <c r="N289" s="1">
        <v>100</v>
      </c>
      <c r="O289" s="61" t="str">
        <f>LEFT(U289,20)</f>
        <v>דירת גן 5 חדרים קרקע</v>
      </c>
      <c r="U289" s="1" t="str">
        <f>RIGHT(A289,38)</f>
        <v>דירת גן 5 חדרים קרקע 3,350,427 100 128</v>
      </c>
    </row>
    <row r="290" spans="1:21" hidden="1" x14ac:dyDescent="0.25">
      <c r="A290" s="1" t="s">
        <v>39</v>
      </c>
      <c r="C290" s="1" t="str">
        <f t="shared" ref="C290:C313" si="19">LEFT(A290,9)</f>
        <v xml:space="preserve">₪ 25,018 </v>
      </c>
      <c r="E290" s="1" t="str">
        <f t="shared" si="17"/>
        <v>₪ 25,018 ₪ 3,530,000</v>
      </c>
      <c r="F290" s="1" t="str">
        <f t="shared" si="18"/>
        <v>3,530,000</v>
      </c>
      <c r="G290" s="1">
        <f t="shared" ref="G290:G313" si="20">F290/1.17</f>
        <v>3017094.0170940175</v>
      </c>
      <c r="J290" s="1" t="e">
        <f>F290/C290-13</f>
        <v>#VALUE!</v>
      </c>
      <c r="L290" s="1">
        <v>2</v>
      </c>
      <c r="M290" s="1">
        <v>27</v>
      </c>
      <c r="O290" s="61" t="str">
        <f>LEFT(U290,13)</f>
        <v xml:space="preserve"> דירת 5 חדרים</v>
      </c>
      <c r="U290" s="1" t="str">
        <f>RIGHT(A290,30)</f>
        <v xml:space="preserve"> דירת 5 חדרים 3,017,094 27 128</v>
      </c>
    </row>
    <row r="291" spans="1:21" hidden="1" x14ac:dyDescent="0.25">
      <c r="A291" s="1" t="s">
        <v>40</v>
      </c>
      <c r="C291" s="1" t="str">
        <f t="shared" si="19"/>
        <v xml:space="preserve">₪ 25,018 </v>
      </c>
      <c r="E291" s="1" t="str">
        <f t="shared" si="17"/>
        <v>₪ 25,018 ₪ 3,530,000</v>
      </c>
      <c r="F291" s="1" t="str">
        <f t="shared" si="18"/>
        <v>3,530,000</v>
      </c>
      <c r="G291" s="1">
        <f t="shared" si="20"/>
        <v>3017094.0170940175</v>
      </c>
      <c r="J291" s="1" t="e">
        <f t="shared" ref="J291:J310" si="21">F291/C291-13</f>
        <v>#VALUE!</v>
      </c>
      <c r="L291" s="1">
        <v>3</v>
      </c>
      <c r="M291" s="1">
        <v>27</v>
      </c>
      <c r="O291" s="61" t="str">
        <f t="shared" ref="O291:O313" si="22">LEFT(U291,13)</f>
        <v xml:space="preserve"> דירת 5 חדרים</v>
      </c>
      <c r="U291" s="1" t="str">
        <f t="shared" ref="U291:U313" si="23">RIGHT(A291,30)</f>
        <v xml:space="preserve"> דירת 5 חדרים 3,017,094 27 128</v>
      </c>
    </row>
    <row r="292" spans="1:21" hidden="1" x14ac:dyDescent="0.25">
      <c r="A292" s="1" t="s">
        <v>11</v>
      </c>
      <c r="C292" s="1" t="str">
        <f t="shared" si="19"/>
        <v xml:space="preserve">₪ 25,027 </v>
      </c>
      <c r="E292" s="1" t="str">
        <f t="shared" si="17"/>
        <v>₪ 25,027 ₪ 2,340,000</v>
      </c>
      <c r="F292" s="1" t="str">
        <f t="shared" si="18"/>
        <v>2,340,000</v>
      </c>
      <c r="G292" s="1">
        <f t="shared" si="20"/>
        <v>2000000.0000000002</v>
      </c>
      <c r="J292" s="1" t="e">
        <f t="shared" si="21"/>
        <v>#VALUE!</v>
      </c>
      <c r="L292" s="1">
        <v>4</v>
      </c>
      <c r="M292" s="1">
        <v>27</v>
      </c>
      <c r="O292" s="61" t="str">
        <f t="shared" si="22"/>
        <v>4 דירת 3 חדרי</v>
      </c>
      <c r="U292" s="1" t="str">
        <f t="shared" si="23"/>
        <v>4 דירת 3 חדרים 2,000,000 27 80</v>
      </c>
    </row>
    <row r="293" spans="1:21" hidden="1" x14ac:dyDescent="0.25">
      <c r="A293" s="1" t="s">
        <v>41</v>
      </c>
      <c r="C293" s="1" t="str">
        <f t="shared" si="19"/>
        <v xml:space="preserve">₪ 25,159 </v>
      </c>
      <c r="E293" s="1" t="str">
        <f t="shared" si="17"/>
        <v>₪ 25,159 ₪ 3,550,000</v>
      </c>
      <c r="F293" s="1" t="str">
        <f t="shared" si="18"/>
        <v>3,550,000</v>
      </c>
      <c r="G293" s="1">
        <f t="shared" si="20"/>
        <v>3034188.0341880345</v>
      </c>
      <c r="J293" s="1" t="e">
        <f t="shared" si="21"/>
        <v>#VALUE!</v>
      </c>
      <c r="L293" s="1">
        <v>5</v>
      </c>
      <c r="M293" s="1">
        <v>27</v>
      </c>
      <c r="O293" s="61" t="str">
        <f t="shared" si="22"/>
        <v xml:space="preserve"> דירת 5 חדרים</v>
      </c>
      <c r="U293" s="1" t="str">
        <f t="shared" si="23"/>
        <v xml:space="preserve"> דירת 5 חדרים 3,034,188 27 128</v>
      </c>
    </row>
    <row r="294" spans="1:21" hidden="1" x14ac:dyDescent="0.25">
      <c r="A294" s="1" t="s">
        <v>42</v>
      </c>
      <c r="C294" s="1" t="str">
        <f t="shared" si="19"/>
        <v xml:space="preserve">₪ 25,159 </v>
      </c>
      <c r="E294" s="1" t="str">
        <f t="shared" si="17"/>
        <v>₪ 25,159 ₪ 3,550,000</v>
      </c>
      <c r="F294" s="1" t="str">
        <f t="shared" si="18"/>
        <v>3,550,000</v>
      </c>
      <c r="G294" s="1">
        <f t="shared" si="20"/>
        <v>3034188.0341880345</v>
      </c>
      <c r="J294" s="1" t="e">
        <f t="shared" si="21"/>
        <v>#VALUE!</v>
      </c>
      <c r="L294" s="1">
        <v>6</v>
      </c>
      <c r="M294" s="1">
        <v>27</v>
      </c>
      <c r="O294" s="61" t="str">
        <f t="shared" si="22"/>
        <v xml:space="preserve"> דירת 5 חדרים</v>
      </c>
      <c r="U294" s="1" t="str">
        <f t="shared" si="23"/>
        <v xml:space="preserve"> דירת 5 חדרים 3,034,188 27 128</v>
      </c>
    </row>
    <row r="295" spans="1:21" hidden="1" x14ac:dyDescent="0.25">
      <c r="A295" s="1" t="s">
        <v>14</v>
      </c>
      <c r="C295" s="1" t="str">
        <f t="shared" si="19"/>
        <v xml:space="preserve">₪ 25,241 </v>
      </c>
      <c r="E295" s="1" t="str">
        <f t="shared" si="17"/>
        <v>₪ 25,241 ₪ 2,360,000</v>
      </c>
      <c r="F295" s="1" t="str">
        <f t="shared" si="18"/>
        <v>2,360,000</v>
      </c>
      <c r="G295" s="1">
        <f t="shared" si="20"/>
        <v>2017094.0170940172</v>
      </c>
      <c r="J295" s="1" t="e">
        <f t="shared" si="21"/>
        <v>#VALUE!</v>
      </c>
      <c r="L295" s="1">
        <v>7</v>
      </c>
      <c r="M295" s="1">
        <v>27</v>
      </c>
      <c r="O295" s="61" t="str">
        <f t="shared" si="22"/>
        <v>7 דירת 3 חדרי</v>
      </c>
      <c r="U295" s="1" t="str">
        <f t="shared" si="23"/>
        <v>7 דירת 3 חדרים 2,017,094 27 80</v>
      </c>
    </row>
    <row r="296" spans="1:21" hidden="1" x14ac:dyDescent="0.25">
      <c r="A296" s="1" t="s">
        <v>43</v>
      </c>
      <c r="C296" s="1" t="str">
        <f t="shared" si="19"/>
        <v xml:space="preserve">₪ 25,301 </v>
      </c>
      <c r="E296" s="1" t="str">
        <f t="shared" si="17"/>
        <v>₪ 25,301 ₪ 3,570,000</v>
      </c>
      <c r="F296" s="1" t="str">
        <f t="shared" si="18"/>
        <v>3,570,000</v>
      </c>
      <c r="G296" s="1">
        <f t="shared" si="20"/>
        <v>3051282.0512820515</v>
      </c>
      <c r="J296" s="1" t="e">
        <f t="shared" si="21"/>
        <v>#VALUE!</v>
      </c>
      <c r="L296" s="1">
        <v>8</v>
      </c>
      <c r="M296" s="1">
        <v>27</v>
      </c>
      <c r="O296" s="61" t="str">
        <f t="shared" si="22"/>
        <v xml:space="preserve"> דירת 5 חדרים</v>
      </c>
      <c r="U296" s="1" t="str">
        <f t="shared" si="23"/>
        <v xml:space="preserve"> דירת 5 חדרים 3,051,282 27 128</v>
      </c>
    </row>
    <row r="297" spans="1:21" hidden="1" x14ac:dyDescent="0.25">
      <c r="A297" s="1" t="s">
        <v>44</v>
      </c>
      <c r="C297" s="1" t="str">
        <f t="shared" si="19"/>
        <v xml:space="preserve">₪ 25,301 </v>
      </c>
      <c r="E297" s="1" t="str">
        <f t="shared" si="17"/>
        <v>₪ 25,301 ₪ 3,570,000</v>
      </c>
      <c r="F297" s="1" t="str">
        <f t="shared" si="18"/>
        <v>3,570,000</v>
      </c>
      <c r="G297" s="1">
        <f t="shared" si="20"/>
        <v>3051282.0512820515</v>
      </c>
      <c r="J297" s="1" t="e">
        <f t="shared" si="21"/>
        <v>#VALUE!</v>
      </c>
      <c r="L297" s="1">
        <v>9</v>
      </c>
      <c r="M297" s="1">
        <v>27</v>
      </c>
      <c r="O297" s="61" t="str">
        <f t="shared" si="22"/>
        <v xml:space="preserve"> דירת 5 חדרים</v>
      </c>
      <c r="U297" s="1" t="str">
        <f t="shared" si="23"/>
        <v xml:space="preserve"> דירת 5 חדרים 3,051,282 27 128</v>
      </c>
    </row>
    <row r="298" spans="1:21" hidden="1" x14ac:dyDescent="0.25">
      <c r="A298" s="1" t="s">
        <v>17</v>
      </c>
      <c r="C298" s="1" t="str">
        <f t="shared" si="19"/>
        <v xml:space="preserve">₪ 25,455 </v>
      </c>
      <c r="E298" s="1" t="str">
        <f t="shared" si="17"/>
        <v>₪ 25,455 ₪ 2,380,000</v>
      </c>
      <c r="F298" s="1" t="str">
        <f t="shared" si="18"/>
        <v>2,380,000</v>
      </c>
      <c r="G298" s="1">
        <f t="shared" si="20"/>
        <v>2034188.0341880342</v>
      </c>
      <c r="J298" s="1" t="e">
        <f t="shared" si="21"/>
        <v>#VALUE!</v>
      </c>
      <c r="L298" s="1">
        <v>10</v>
      </c>
      <c r="M298" s="1">
        <v>27</v>
      </c>
      <c r="O298" s="61" t="str">
        <f t="shared" si="22"/>
        <v>0 דירת 3 חדרי</v>
      </c>
      <c r="U298" s="1" t="str">
        <f t="shared" si="23"/>
        <v>0 דירת 3 חדרים 2,034,188 27 80</v>
      </c>
    </row>
    <row r="299" spans="1:21" hidden="1" x14ac:dyDescent="0.25">
      <c r="A299" s="1" t="s">
        <v>45</v>
      </c>
      <c r="C299" s="1" t="str">
        <f t="shared" si="19"/>
        <v xml:space="preserve">₪ 25,443 </v>
      </c>
      <c r="E299" s="1" t="str">
        <f t="shared" si="17"/>
        <v>₪ 25,443 ₪ 3,590,000</v>
      </c>
      <c r="F299" s="1" t="str">
        <f t="shared" si="18"/>
        <v>3,590,000</v>
      </c>
      <c r="G299" s="1">
        <f t="shared" si="20"/>
        <v>3068376.0683760685</v>
      </c>
      <c r="J299" s="1" t="e">
        <f t="shared" si="21"/>
        <v>#VALUE!</v>
      </c>
      <c r="L299" s="1">
        <v>11</v>
      </c>
      <c r="M299" s="1">
        <v>27</v>
      </c>
      <c r="O299" s="61" t="str">
        <f t="shared" si="22"/>
        <v xml:space="preserve"> דירת 5 חדרים</v>
      </c>
      <c r="U299" s="1" t="str">
        <f t="shared" si="23"/>
        <v xml:space="preserve"> דירת 5 חדרים 3,068,376 27 128</v>
      </c>
    </row>
    <row r="300" spans="1:21" hidden="1" x14ac:dyDescent="0.25">
      <c r="A300" s="1" t="s">
        <v>46</v>
      </c>
      <c r="C300" s="1" t="str">
        <f t="shared" si="19"/>
        <v xml:space="preserve">₪ 25,443 </v>
      </c>
      <c r="E300" s="1" t="str">
        <f t="shared" si="17"/>
        <v>₪ 25,443 ₪ 3,590,000</v>
      </c>
      <c r="F300" s="1" t="str">
        <f t="shared" si="18"/>
        <v>3,590,000</v>
      </c>
      <c r="G300" s="1">
        <f t="shared" si="20"/>
        <v>3068376.0683760685</v>
      </c>
      <c r="J300" s="1" t="e">
        <f t="shared" si="21"/>
        <v>#VALUE!</v>
      </c>
      <c r="L300" s="1">
        <v>12</v>
      </c>
      <c r="M300" s="1">
        <v>27</v>
      </c>
      <c r="O300" s="61" t="str">
        <f t="shared" si="22"/>
        <v xml:space="preserve"> דירת 5 חדרים</v>
      </c>
      <c r="U300" s="1" t="str">
        <f t="shared" si="23"/>
        <v xml:space="preserve"> דירת 5 חדרים 3,068,376 27 128</v>
      </c>
    </row>
    <row r="301" spans="1:21" hidden="1" x14ac:dyDescent="0.25">
      <c r="A301" s="1" t="s">
        <v>20</v>
      </c>
      <c r="C301" s="1" t="str">
        <f t="shared" si="19"/>
        <v xml:space="preserve">₪ 25,668 </v>
      </c>
      <c r="E301" s="1" t="str">
        <f t="shared" si="17"/>
        <v>₪ 25,668 ₪ 2,400,000</v>
      </c>
      <c r="F301" s="1" t="str">
        <f t="shared" si="18"/>
        <v>2,400,000</v>
      </c>
      <c r="G301" s="1">
        <f t="shared" si="20"/>
        <v>2051282.0512820515</v>
      </c>
      <c r="J301" s="1" t="e">
        <f t="shared" si="21"/>
        <v>#VALUE!</v>
      </c>
      <c r="L301" s="1">
        <v>13</v>
      </c>
      <c r="M301" s="1">
        <v>27</v>
      </c>
      <c r="O301" s="61" t="str">
        <f t="shared" si="22"/>
        <v>3 דירת 3 חדרי</v>
      </c>
      <c r="U301" s="1" t="str">
        <f t="shared" si="23"/>
        <v>3 דירת 3 חדרים 2,051,282 27 80</v>
      </c>
    </row>
    <row r="302" spans="1:21" hidden="1" x14ac:dyDescent="0.25">
      <c r="A302" s="1" t="s">
        <v>47</v>
      </c>
      <c r="C302" s="1" t="str">
        <f t="shared" si="19"/>
        <v xml:space="preserve">₪ 25,585 </v>
      </c>
      <c r="E302" s="1" t="str">
        <f t="shared" si="17"/>
        <v>₪ 25,585 ₪ 3,610,000</v>
      </c>
      <c r="F302" s="1" t="str">
        <f t="shared" si="18"/>
        <v>3,610,000</v>
      </c>
      <c r="G302" s="1">
        <f t="shared" si="20"/>
        <v>3085470.0854700855</v>
      </c>
      <c r="J302" s="1" t="e">
        <f t="shared" si="21"/>
        <v>#VALUE!</v>
      </c>
      <c r="L302" s="1">
        <v>14</v>
      </c>
      <c r="M302" s="1">
        <v>27</v>
      </c>
      <c r="O302" s="61" t="str">
        <f t="shared" si="22"/>
        <v xml:space="preserve"> דירת 5 חדרים</v>
      </c>
      <c r="U302" s="1" t="str">
        <f t="shared" si="23"/>
        <v xml:space="preserve"> דירת 5 חדרים 3,085,470 27 128</v>
      </c>
    </row>
    <row r="303" spans="1:21" hidden="1" x14ac:dyDescent="0.25">
      <c r="A303" s="1" t="s">
        <v>48</v>
      </c>
      <c r="C303" s="1" t="str">
        <f t="shared" si="19"/>
        <v xml:space="preserve">₪ 25,585 </v>
      </c>
      <c r="E303" s="1" t="str">
        <f t="shared" si="17"/>
        <v>₪ 25,585 ₪ 3,610,000</v>
      </c>
      <c r="F303" s="1" t="str">
        <f t="shared" si="18"/>
        <v>3,610,000</v>
      </c>
      <c r="G303" s="1">
        <f t="shared" si="20"/>
        <v>3085470.0854700855</v>
      </c>
      <c r="J303" s="1" t="e">
        <f t="shared" si="21"/>
        <v>#VALUE!</v>
      </c>
      <c r="L303" s="1">
        <v>15</v>
      </c>
      <c r="M303" s="1">
        <v>27</v>
      </c>
      <c r="O303" s="61" t="str">
        <f t="shared" si="22"/>
        <v xml:space="preserve"> דירת 5 חדרים</v>
      </c>
      <c r="U303" s="1" t="str">
        <f t="shared" si="23"/>
        <v xml:space="preserve"> דירת 5 חדרים 3,085,470 27 128</v>
      </c>
    </row>
    <row r="304" spans="1:21" hidden="1" x14ac:dyDescent="0.25">
      <c r="A304" s="1" t="s">
        <v>23</v>
      </c>
      <c r="C304" s="1" t="str">
        <f t="shared" si="19"/>
        <v xml:space="preserve">₪ 25,882 </v>
      </c>
      <c r="E304" s="1" t="str">
        <f t="shared" si="17"/>
        <v>₪ 25,882 ₪ 2,420,000</v>
      </c>
      <c r="F304" s="1" t="str">
        <f t="shared" si="18"/>
        <v>2,420,000</v>
      </c>
      <c r="G304" s="1">
        <f t="shared" si="20"/>
        <v>2068376.0683760685</v>
      </c>
      <c r="J304" s="1" t="e">
        <f t="shared" si="21"/>
        <v>#VALUE!</v>
      </c>
      <c r="L304" s="1">
        <v>16</v>
      </c>
      <c r="M304" s="1">
        <v>27</v>
      </c>
      <c r="O304" s="61" t="str">
        <f t="shared" si="22"/>
        <v>6 דירת 3 חדרי</v>
      </c>
      <c r="U304" s="1" t="str">
        <f t="shared" si="23"/>
        <v>6 דירת 3 חדרים 2,068,376 27 80</v>
      </c>
    </row>
    <row r="305" spans="1:21" hidden="1" x14ac:dyDescent="0.25">
      <c r="A305" s="1" t="s">
        <v>49</v>
      </c>
      <c r="C305" s="1" t="str">
        <f t="shared" si="19"/>
        <v xml:space="preserve">₪ 25,726 </v>
      </c>
      <c r="E305" s="1" t="str">
        <f t="shared" si="17"/>
        <v>₪ 25,726 ₪ 3,630,000</v>
      </c>
      <c r="F305" s="1" t="str">
        <f t="shared" si="18"/>
        <v>3,630,000</v>
      </c>
      <c r="G305" s="1">
        <f t="shared" si="20"/>
        <v>3102564.102564103</v>
      </c>
      <c r="J305" s="1" t="e">
        <f t="shared" si="21"/>
        <v>#VALUE!</v>
      </c>
      <c r="L305" s="1">
        <v>17</v>
      </c>
      <c r="M305" s="1">
        <v>27</v>
      </c>
      <c r="O305" s="61" t="str">
        <f t="shared" si="22"/>
        <v xml:space="preserve"> דירת 5 חדרים</v>
      </c>
      <c r="U305" s="1" t="str">
        <f t="shared" si="23"/>
        <v xml:space="preserve"> דירת 5 חדרים 3,102,564 27 128</v>
      </c>
    </row>
    <row r="306" spans="1:21" hidden="1" x14ac:dyDescent="0.25">
      <c r="A306" s="1" t="s">
        <v>50</v>
      </c>
      <c r="C306" s="1" t="str">
        <f t="shared" si="19"/>
        <v xml:space="preserve">₪ 25,726 </v>
      </c>
      <c r="E306" s="1" t="str">
        <f t="shared" si="17"/>
        <v>₪ 25,726 ₪ 3,630,000</v>
      </c>
      <c r="F306" s="1" t="str">
        <f t="shared" si="18"/>
        <v>3,630,000</v>
      </c>
      <c r="G306" s="1">
        <f t="shared" si="20"/>
        <v>3102564.102564103</v>
      </c>
      <c r="J306" s="1" t="e">
        <f t="shared" si="21"/>
        <v>#VALUE!</v>
      </c>
      <c r="L306" s="1">
        <v>18</v>
      </c>
      <c r="M306" s="1">
        <v>27</v>
      </c>
      <c r="O306" s="61" t="str">
        <f t="shared" si="22"/>
        <v xml:space="preserve"> דירת 5 חדרים</v>
      </c>
      <c r="U306" s="1" t="str">
        <f t="shared" si="23"/>
        <v xml:space="preserve"> דירת 5 חדרים 3,102,564 27 128</v>
      </c>
    </row>
    <row r="307" spans="1:21" hidden="1" x14ac:dyDescent="0.25">
      <c r="A307" s="1" t="s">
        <v>51</v>
      </c>
      <c r="C307" s="1" t="str">
        <f t="shared" si="19"/>
        <v xml:space="preserve">₪ 26,096 </v>
      </c>
      <c r="E307" s="1" t="str">
        <f t="shared" si="17"/>
        <v>₪ 26,096 ₪ 2,440,000</v>
      </c>
      <c r="F307" s="1" t="str">
        <f t="shared" si="18"/>
        <v>2,440,000</v>
      </c>
      <c r="G307" s="1">
        <f t="shared" si="20"/>
        <v>2085470.0854700855</v>
      </c>
      <c r="J307" s="1" t="e">
        <f t="shared" si="21"/>
        <v>#VALUE!</v>
      </c>
      <c r="L307" s="1">
        <v>19</v>
      </c>
      <c r="M307" s="1">
        <v>27</v>
      </c>
      <c r="O307" s="61" t="str">
        <f t="shared" si="22"/>
        <v>9 דירת 3 חדרי</v>
      </c>
      <c r="U307" s="1" t="str">
        <f t="shared" si="23"/>
        <v>9 דירת 3 חדרים 2,085,470 27 80</v>
      </c>
    </row>
    <row r="308" spans="1:21" hidden="1" x14ac:dyDescent="0.25">
      <c r="A308" s="1" t="s">
        <v>52</v>
      </c>
      <c r="C308" s="1" t="str">
        <f t="shared" si="19"/>
        <v xml:space="preserve">₪ 25,868 </v>
      </c>
      <c r="E308" s="1" t="str">
        <f t="shared" si="17"/>
        <v>₪ 25,868 ₪ 3,650,000</v>
      </c>
      <c r="F308" s="1" t="str">
        <f t="shared" si="18"/>
        <v>3,650,000</v>
      </c>
      <c r="G308" s="1">
        <f t="shared" si="20"/>
        <v>3119658.11965812</v>
      </c>
      <c r="J308" s="1" t="e">
        <f t="shared" si="21"/>
        <v>#VALUE!</v>
      </c>
      <c r="L308" s="1">
        <v>20</v>
      </c>
      <c r="M308" s="1">
        <v>27</v>
      </c>
      <c r="O308" s="61" t="str">
        <f t="shared" si="22"/>
        <v xml:space="preserve"> דירת 5 חדרים</v>
      </c>
      <c r="U308" s="1" t="str">
        <f t="shared" si="23"/>
        <v xml:space="preserve"> דירת 5 חדרים 3,119,658 27 128</v>
      </c>
    </row>
    <row r="309" spans="1:21" hidden="1" x14ac:dyDescent="0.25">
      <c r="A309" s="1" t="s">
        <v>53</v>
      </c>
      <c r="C309" s="1" t="str">
        <f t="shared" si="19"/>
        <v xml:space="preserve">₪ 25,868 </v>
      </c>
      <c r="E309" s="1" t="str">
        <f t="shared" si="17"/>
        <v>₪ 25,868 ₪ 3,650,000</v>
      </c>
      <c r="F309" s="1" t="str">
        <f t="shared" si="18"/>
        <v>3,650,000</v>
      </c>
      <c r="G309" s="1">
        <f t="shared" si="20"/>
        <v>3119658.11965812</v>
      </c>
      <c r="J309" s="1" t="e">
        <f t="shared" si="21"/>
        <v>#VALUE!</v>
      </c>
      <c r="L309" s="1">
        <v>21</v>
      </c>
      <c r="M309" s="1">
        <v>27</v>
      </c>
      <c r="O309" s="61" t="str">
        <f t="shared" si="22"/>
        <v xml:space="preserve"> דירת 5 חדרים</v>
      </c>
      <c r="U309" s="1" t="str">
        <f t="shared" si="23"/>
        <v xml:space="preserve"> דירת 5 חדרים 3,119,658 27 128</v>
      </c>
    </row>
    <row r="310" spans="1:21" hidden="1" x14ac:dyDescent="0.25">
      <c r="A310" s="1" t="s">
        <v>54</v>
      </c>
      <c r="C310" s="1" t="str">
        <f t="shared" si="19"/>
        <v xml:space="preserve">₪ 27,895 </v>
      </c>
      <c r="E310" s="1" t="str">
        <f t="shared" si="17"/>
        <v>₪ 27,895 ₪ 4,240,000</v>
      </c>
      <c r="F310" s="1" t="str">
        <f t="shared" si="18"/>
        <v>4,240,000</v>
      </c>
      <c r="G310" s="1">
        <f t="shared" si="20"/>
        <v>3623931.623931624</v>
      </c>
      <c r="J310" s="1" t="e">
        <f t="shared" si="21"/>
        <v>#VALUE!</v>
      </c>
      <c r="L310" s="1">
        <v>22</v>
      </c>
      <c r="M310" s="1">
        <v>27</v>
      </c>
      <c r="O310" s="61" t="str">
        <f t="shared" si="22"/>
        <v>טהאוז 6 חדרים</v>
      </c>
      <c r="U310" s="1" t="str">
        <f t="shared" si="23"/>
        <v>טהאוז 6 חדרים 3,623,932 40 152</v>
      </c>
    </row>
    <row r="311" spans="1:21" hidden="1" x14ac:dyDescent="0.25">
      <c r="A311" s="1" t="s">
        <v>30</v>
      </c>
      <c r="C311" s="1" t="str">
        <f t="shared" si="19"/>
        <v xml:space="preserve">₪ 27,895 </v>
      </c>
      <c r="E311" s="1" t="str">
        <f t="shared" si="17"/>
        <v>₪ 27,895 ₪ 4,240,000</v>
      </c>
      <c r="F311" s="1" t="str">
        <f t="shared" si="18"/>
        <v>4,240,000</v>
      </c>
      <c r="G311" s="1">
        <f t="shared" si="20"/>
        <v>3623931.623931624</v>
      </c>
      <c r="J311" s="1" t="e">
        <f t="shared" ref="J311:J313" si="24">F311/C311</f>
        <v>#VALUE!</v>
      </c>
      <c r="L311" s="1">
        <v>23</v>
      </c>
      <c r="N311" s="1">
        <v>40</v>
      </c>
      <c r="O311" s="61" t="str">
        <f t="shared" si="22"/>
        <v>טהאוז 6 חדרים</v>
      </c>
      <c r="U311" s="1" t="str">
        <f t="shared" si="23"/>
        <v>טהאוז 6 חדרים 3,623,932 40 152</v>
      </c>
    </row>
    <row r="312" spans="1:21" hidden="1" x14ac:dyDescent="0.25">
      <c r="A312" s="1" t="s">
        <v>55</v>
      </c>
      <c r="C312" s="1" t="str">
        <f t="shared" si="19"/>
        <v xml:space="preserve">₪ 27,861 </v>
      </c>
      <c r="E312" s="1" t="str">
        <f t="shared" si="17"/>
        <v>₪ 27,861 ₪ 5,210,000</v>
      </c>
      <c r="F312" s="1" t="str">
        <f t="shared" si="18"/>
        <v>5,210,000</v>
      </c>
      <c r="G312" s="1">
        <f t="shared" si="20"/>
        <v>4452991.452991453</v>
      </c>
      <c r="J312" s="1" t="e">
        <f t="shared" si="24"/>
        <v>#VALUE!</v>
      </c>
      <c r="L312" s="1">
        <v>24</v>
      </c>
      <c r="N312" s="1">
        <v>40</v>
      </c>
      <c r="O312" s="61" t="str">
        <f t="shared" si="22"/>
        <v>ופלקס 5 חדרים</v>
      </c>
      <c r="U312" s="1" t="str">
        <f t="shared" si="23"/>
        <v>ופלקס 5 חדרים 4,452,991 70 187</v>
      </c>
    </row>
    <row r="313" spans="1:21" hidden="1" x14ac:dyDescent="0.25">
      <c r="A313" s="1" t="s">
        <v>32</v>
      </c>
      <c r="C313" s="1" t="str">
        <f t="shared" si="19"/>
        <v xml:space="preserve">₪ 27,861 </v>
      </c>
      <c r="E313" s="1" t="str">
        <f t="shared" si="17"/>
        <v>₪ 27,861 ₪ 5,210,000</v>
      </c>
      <c r="F313" s="1" t="str">
        <f t="shared" si="18"/>
        <v>5,210,000</v>
      </c>
      <c r="G313" s="1">
        <f t="shared" si="20"/>
        <v>4452991.452991453</v>
      </c>
      <c r="J313" s="1" t="e">
        <f t="shared" si="24"/>
        <v>#VALUE!</v>
      </c>
      <c r="L313" s="1">
        <v>25</v>
      </c>
      <c r="N313" s="1">
        <v>70</v>
      </c>
      <c r="O313" s="61" t="str">
        <f t="shared" si="22"/>
        <v>ופלקס 5 חדרים</v>
      </c>
      <c r="U313" s="1" t="str">
        <f t="shared" si="23"/>
        <v>ופלקס 5 חדרים 4,452,991 70 187</v>
      </c>
    </row>
    <row r="314" spans="1:21" hidden="1" x14ac:dyDescent="0.25">
      <c r="O314" s="61"/>
    </row>
    <row r="315" spans="1:21" ht="13" hidden="1" x14ac:dyDescent="0.3">
      <c r="A315" s="63" t="s">
        <v>58</v>
      </c>
    </row>
    <row r="316" spans="1:21" hidden="1" x14ac:dyDescent="0.25"/>
    <row r="317" spans="1:21" hidden="1" x14ac:dyDescent="0.25">
      <c r="A317" s="1" t="s">
        <v>56</v>
      </c>
      <c r="C317" s="1" t="str">
        <f>LEFT(A317,9)</f>
        <v xml:space="preserve">₪ 30,520 </v>
      </c>
      <c r="E317" s="1" t="str">
        <f t="shared" ref="E317:E342" si="25">LEFT(A317,20)</f>
        <v>₪ 30,520 ₪ 4,050,000</v>
      </c>
      <c r="F317" s="1" t="str">
        <f t="shared" ref="F317:F342" si="26">RIGHT(E317,9)</f>
        <v>4,050,000</v>
      </c>
      <c r="G317" s="1">
        <f>F317/1.17</f>
        <v>3461538.461538462</v>
      </c>
      <c r="J317" s="1" t="e">
        <f>F317/C317</f>
        <v>#VALUE!</v>
      </c>
      <c r="L317" s="1">
        <v>1</v>
      </c>
      <c r="N317" s="1">
        <v>100</v>
      </c>
      <c r="O317" s="61" t="str">
        <f>LEFT(U317,20)</f>
        <v>דירת גן 5 חדרים קרקע</v>
      </c>
      <c r="U317" s="1" t="str">
        <f>RIGHT(A317,38)</f>
        <v>דירת גן 5 חדרים קרקע 3,461,538 100 133</v>
      </c>
    </row>
    <row r="318" spans="1:21" hidden="1" x14ac:dyDescent="0.25">
      <c r="A318" s="1" t="s">
        <v>9</v>
      </c>
      <c r="C318" s="1" t="str">
        <f t="shared" ref="C318:C342" si="27">LEFT(A318,9)</f>
        <v xml:space="preserve">₪ 25,034 </v>
      </c>
      <c r="E318" s="1" t="str">
        <f t="shared" si="25"/>
        <v>₪ 25,034 ₪ 3,660,000</v>
      </c>
      <c r="F318" s="1" t="str">
        <f t="shared" si="26"/>
        <v>3,660,000</v>
      </c>
      <c r="G318" s="1">
        <f t="shared" ref="G318:G342" si="28">F318/1.17</f>
        <v>3128205.1282051285</v>
      </c>
      <c r="J318" s="1" t="e">
        <f>F318/C318-13</f>
        <v>#VALUE!</v>
      </c>
      <c r="L318" s="1">
        <v>2</v>
      </c>
      <c r="M318" s="1">
        <v>27</v>
      </c>
      <c r="O318" s="61" t="str">
        <f>LEFT(U318,13)</f>
        <v xml:space="preserve"> דירת 5 חדרים</v>
      </c>
      <c r="U318" s="1" t="str">
        <f>RIGHT(A318,30)</f>
        <v xml:space="preserve"> דירת 5 חדרים 3,128,205 27 133</v>
      </c>
    </row>
    <row r="319" spans="1:21" hidden="1" x14ac:dyDescent="0.25">
      <c r="A319" s="1" t="s">
        <v>10</v>
      </c>
      <c r="C319" s="1" t="str">
        <f t="shared" si="27"/>
        <v xml:space="preserve">₪ 25,017 </v>
      </c>
      <c r="E319" s="1" t="str">
        <f t="shared" si="25"/>
        <v>₪ 25,017 ₪ 3,590,000</v>
      </c>
      <c r="F319" s="1" t="str">
        <f t="shared" si="26"/>
        <v>3,590,000</v>
      </c>
      <c r="G319" s="1">
        <f t="shared" si="28"/>
        <v>3068376.0683760685</v>
      </c>
      <c r="J319" s="1" t="e">
        <f t="shared" ref="J319:J338" si="29">F319/C319-13</f>
        <v>#VALUE!</v>
      </c>
      <c r="L319" s="1">
        <v>3</v>
      </c>
      <c r="M319" s="1">
        <v>27</v>
      </c>
      <c r="O319" s="61" t="str">
        <f t="shared" ref="O319:O342" si="30">LEFT(U319,13)</f>
        <v xml:space="preserve"> דירת 5 חדרים</v>
      </c>
      <c r="U319" s="1" t="str">
        <f t="shared" ref="U319:U342" si="31">RIGHT(A319,30)</f>
        <v xml:space="preserve"> דירת 5 חדרים 3,068,376 27 130</v>
      </c>
    </row>
    <row r="320" spans="1:21" hidden="1" x14ac:dyDescent="0.25">
      <c r="A320" s="1" t="s">
        <v>11</v>
      </c>
      <c r="C320" s="1" t="str">
        <f t="shared" si="27"/>
        <v xml:space="preserve">₪ 25,027 </v>
      </c>
      <c r="E320" s="1" t="str">
        <f t="shared" si="25"/>
        <v>₪ 25,027 ₪ 2,340,000</v>
      </c>
      <c r="F320" s="1" t="str">
        <f t="shared" si="26"/>
        <v>2,340,000</v>
      </c>
      <c r="G320" s="1">
        <f t="shared" si="28"/>
        <v>2000000.0000000002</v>
      </c>
      <c r="J320" s="1" t="e">
        <f t="shared" si="29"/>
        <v>#VALUE!</v>
      </c>
      <c r="L320" s="1">
        <v>4</v>
      </c>
      <c r="M320" s="1">
        <v>27</v>
      </c>
      <c r="O320" s="61" t="str">
        <f t="shared" si="30"/>
        <v>4 דירת 3 חדרי</v>
      </c>
      <c r="U320" s="1" t="str">
        <f t="shared" si="31"/>
        <v>4 דירת 3 חדרים 2,000,000 27 80</v>
      </c>
    </row>
    <row r="321" spans="1:21" hidden="1" x14ac:dyDescent="0.25">
      <c r="A321" s="1" t="s">
        <v>12</v>
      </c>
      <c r="C321" s="1" t="str">
        <f t="shared" si="27"/>
        <v xml:space="preserve">₪ 25,171 </v>
      </c>
      <c r="E321" s="1" t="str">
        <f t="shared" si="25"/>
        <v>₪ 25,171 ₪ 3,680,000</v>
      </c>
      <c r="F321" s="1" t="str">
        <f t="shared" si="26"/>
        <v>3,680,000</v>
      </c>
      <c r="G321" s="1">
        <f t="shared" si="28"/>
        <v>3145299.1452991455</v>
      </c>
      <c r="J321" s="1" t="e">
        <f t="shared" si="29"/>
        <v>#VALUE!</v>
      </c>
      <c r="L321" s="1">
        <v>5</v>
      </c>
      <c r="M321" s="1">
        <v>27</v>
      </c>
      <c r="O321" s="61" t="str">
        <f t="shared" si="30"/>
        <v xml:space="preserve"> דירת 5 חדרים</v>
      </c>
      <c r="U321" s="1" t="str">
        <f t="shared" si="31"/>
        <v xml:space="preserve"> דירת 5 חדרים 3,145,299 27 133</v>
      </c>
    </row>
    <row r="322" spans="1:21" hidden="1" x14ac:dyDescent="0.25">
      <c r="A322" s="1" t="s">
        <v>13</v>
      </c>
      <c r="C322" s="1" t="str">
        <f t="shared" si="27"/>
        <v xml:space="preserve">₪ 25,157 </v>
      </c>
      <c r="E322" s="1" t="str">
        <f t="shared" si="25"/>
        <v>₪ 25,157 ₪ 3,610,000</v>
      </c>
      <c r="F322" s="1" t="str">
        <f t="shared" si="26"/>
        <v>3,610,000</v>
      </c>
      <c r="G322" s="1">
        <f t="shared" si="28"/>
        <v>3085470.0854700855</v>
      </c>
      <c r="J322" s="1" t="e">
        <f t="shared" si="29"/>
        <v>#VALUE!</v>
      </c>
      <c r="L322" s="1">
        <v>6</v>
      </c>
      <c r="M322" s="1">
        <v>27</v>
      </c>
      <c r="O322" s="61" t="str">
        <f t="shared" si="30"/>
        <v xml:space="preserve"> דירת 5 חדרים</v>
      </c>
      <c r="U322" s="1" t="str">
        <f t="shared" si="31"/>
        <v xml:space="preserve"> דירת 5 חדרים 3,085,470 27 130</v>
      </c>
    </row>
    <row r="323" spans="1:21" hidden="1" x14ac:dyDescent="0.25">
      <c r="A323" s="1" t="s">
        <v>14</v>
      </c>
      <c r="C323" s="1" t="str">
        <f t="shared" si="27"/>
        <v xml:space="preserve">₪ 25,241 </v>
      </c>
      <c r="E323" s="1" t="str">
        <f t="shared" si="25"/>
        <v>₪ 25,241 ₪ 2,360,000</v>
      </c>
      <c r="F323" s="1" t="str">
        <f t="shared" si="26"/>
        <v>2,360,000</v>
      </c>
      <c r="G323" s="1">
        <f t="shared" si="28"/>
        <v>2017094.0170940172</v>
      </c>
      <c r="J323" s="1" t="e">
        <f t="shared" si="29"/>
        <v>#VALUE!</v>
      </c>
      <c r="L323" s="1">
        <v>7</v>
      </c>
      <c r="M323" s="1">
        <v>27</v>
      </c>
      <c r="O323" s="61" t="str">
        <f t="shared" si="30"/>
        <v>7 דירת 3 חדרי</v>
      </c>
      <c r="U323" s="1" t="str">
        <f t="shared" si="31"/>
        <v>7 דירת 3 חדרים 2,017,094 27 80</v>
      </c>
    </row>
    <row r="324" spans="1:21" hidden="1" x14ac:dyDescent="0.25">
      <c r="A324" s="1" t="s">
        <v>15</v>
      </c>
      <c r="C324" s="1" t="str">
        <f t="shared" si="27"/>
        <v xml:space="preserve">₪ 25,308 </v>
      </c>
      <c r="E324" s="1" t="str">
        <f t="shared" si="25"/>
        <v>₪ 25,308 ₪ 3,700,000</v>
      </c>
      <c r="F324" s="1" t="str">
        <f t="shared" si="26"/>
        <v>3,700,000</v>
      </c>
      <c r="G324" s="1">
        <f t="shared" si="28"/>
        <v>3162393.1623931625</v>
      </c>
      <c r="J324" s="1" t="e">
        <f t="shared" si="29"/>
        <v>#VALUE!</v>
      </c>
      <c r="L324" s="1">
        <v>8</v>
      </c>
      <c r="M324" s="1">
        <v>27</v>
      </c>
      <c r="O324" s="61" t="str">
        <f t="shared" si="30"/>
        <v xml:space="preserve"> דירת 5 חדרים</v>
      </c>
      <c r="U324" s="1" t="str">
        <f t="shared" si="31"/>
        <v xml:space="preserve"> דירת 5 חדרים 3,162,393 27 133</v>
      </c>
    </row>
    <row r="325" spans="1:21" hidden="1" x14ac:dyDescent="0.25">
      <c r="A325" s="1" t="s">
        <v>16</v>
      </c>
      <c r="C325" s="1" t="str">
        <f t="shared" si="27"/>
        <v xml:space="preserve">₪ 25,296 </v>
      </c>
      <c r="E325" s="1" t="str">
        <f t="shared" si="25"/>
        <v>₪ 25,296 ₪ 3,630,000</v>
      </c>
      <c r="F325" s="1" t="str">
        <f t="shared" si="26"/>
        <v>3,630,000</v>
      </c>
      <c r="G325" s="1">
        <f t="shared" si="28"/>
        <v>3102564.102564103</v>
      </c>
      <c r="J325" s="1" t="e">
        <f t="shared" si="29"/>
        <v>#VALUE!</v>
      </c>
      <c r="L325" s="1">
        <v>9</v>
      </c>
      <c r="M325" s="1">
        <v>27</v>
      </c>
      <c r="O325" s="61" t="str">
        <f t="shared" si="30"/>
        <v xml:space="preserve"> דירת 5 חדרים</v>
      </c>
      <c r="U325" s="1" t="str">
        <f t="shared" si="31"/>
        <v xml:space="preserve"> דירת 5 חדרים 3,102,564 27 130</v>
      </c>
    </row>
    <row r="326" spans="1:21" hidden="1" x14ac:dyDescent="0.25">
      <c r="A326" s="1" t="s">
        <v>17</v>
      </c>
      <c r="C326" s="1" t="str">
        <f t="shared" si="27"/>
        <v xml:space="preserve">₪ 25,455 </v>
      </c>
      <c r="E326" s="1" t="str">
        <f t="shared" si="25"/>
        <v>₪ 25,455 ₪ 2,380,000</v>
      </c>
      <c r="F326" s="1" t="str">
        <f t="shared" si="26"/>
        <v>2,380,000</v>
      </c>
      <c r="G326" s="1">
        <f t="shared" si="28"/>
        <v>2034188.0341880342</v>
      </c>
      <c r="J326" s="1" t="e">
        <f t="shared" si="29"/>
        <v>#VALUE!</v>
      </c>
      <c r="L326" s="1">
        <v>10</v>
      </c>
      <c r="M326" s="1">
        <v>27</v>
      </c>
      <c r="O326" s="61" t="str">
        <f t="shared" si="30"/>
        <v>0 דירת 3 חדרי</v>
      </c>
      <c r="U326" s="1" t="str">
        <f t="shared" si="31"/>
        <v>0 דירת 3 חדרים 2,034,188 27 80</v>
      </c>
    </row>
    <row r="327" spans="1:21" hidden="1" x14ac:dyDescent="0.25">
      <c r="A327" s="1" t="s">
        <v>18</v>
      </c>
      <c r="C327" s="1" t="str">
        <f t="shared" si="27"/>
        <v xml:space="preserve">₪ 25,445 </v>
      </c>
      <c r="E327" s="1" t="str">
        <f t="shared" si="25"/>
        <v>₪ 25,445 ₪ 3,720,000</v>
      </c>
      <c r="F327" s="1" t="str">
        <f t="shared" si="26"/>
        <v>3,720,000</v>
      </c>
      <c r="G327" s="1">
        <f t="shared" si="28"/>
        <v>3179487.1794871795</v>
      </c>
      <c r="J327" s="1" t="e">
        <f t="shared" si="29"/>
        <v>#VALUE!</v>
      </c>
      <c r="L327" s="1">
        <v>11</v>
      </c>
      <c r="M327" s="1">
        <v>27</v>
      </c>
      <c r="O327" s="61" t="str">
        <f t="shared" si="30"/>
        <v xml:space="preserve"> דירת 5 חדרים</v>
      </c>
      <c r="U327" s="1" t="str">
        <f t="shared" si="31"/>
        <v xml:space="preserve"> דירת 5 חדרים 3,179,487 27 133</v>
      </c>
    </row>
    <row r="328" spans="1:21" hidden="1" x14ac:dyDescent="0.25">
      <c r="A328" s="1" t="s">
        <v>19</v>
      </c>
      <c r="C328" s="1" t="str">
        <f t="shared" si="27"/>
        <v xml:space="preserve">₪ 25,436 </v>
      </c>
      <c r="E328" s="1" t="str">
        <f t="shared" si="25"/>
        <v>₪ 25,436 ₪ 3,650,000</v>
      </c>
      <c r="F328" s="1" t="str">
        <f t="shared" si="26"/>
        <v>3,650,000</v>
      </c>
      <c r="G328" s="1">
        <f t="shared" si="28"/>
        <v>3119658.11965812</v>
      </c>
      <c r="J328" s="1" t="e">
        <f t="shared" si="29"/>
        <v>#VALUE!</v>
      </c>
      <c r="L328" s="1">
        <v>12</v>
      </c>
      <c r="M328" s="1">
        <v>27</v>
      </c>
      <c r="O328" s="61" t="str">
        <f t="shared" si="30"/>
        <v xml:space="preserve"> דירת 5 חדרים</v>
      </c>
      <c r="U328" s="1" t="str">
        <f t="shared" si="31"/>
        <v xml:space="preserve"> דירת 5 חדרים 3,119,658 27 130</v>
      </c>
    </row>
    <row r="329" spans="1:21" hidden="1" x14ac:dyDescent="0.25">
      <c r="A329" s="1" t="s">
        <v>20</v>
      </c>
      <c r="C329" s="1" t="str">
        <f t="shared" si="27"/>
        <v xml:space="preserve">₪ 25,668 </v>
      </c>
      <c r="E329" s="1" t="str">
        <f t="shared" si="25"/>
        <v>₪ 25,668 ₪ 2,400,000</v>
      </c>
      <c r="F329" s="1" t="str">
        <f t="shared" si="26"/>
        <v>2,400,000</v>
      </c>
      <c r="G329" s="1">
        <f t="shared" si="28"/>
        <v>2051282.0512820515</v>
      </c>
      <c r="J329" s="1" t="e">
        <f t="shared" si="29"/>
        <v>#VALUE!</v>
      </c>
      <c r="L329" s="1">
        <v>13</v>
      </c>
      <c r="M329" s="1">
        <v>27</v>
      </c>
      <c r="O329" s="61" t="str">
        <f t="shared" si="30"/>
        <v>3 דירת 3 חדרי</v>
      </c>
      <c r="U329" s="1" t="str">
        <f t="shared" si="31"/>
        <v>3 דירת 3 חדרים 2,051,282 27 80</v>
      </c>
    </row>
    <row r="330" spans="1:21" hidden="1" x14ac:dyDescent="0.25">
      <c r="A330" s="1" t="s">
        <v>21</v>
      </c>
      <c r="C330" s="1" t="str">
        <f t="shared" si="27"/>
        <v xml:space="preserve">₪ 25,581 </v>
      </c>
      <c r="E330" s="1" t="str">
        <f t="shared" si="25"/>
        <v>₪ 25,581 ₪ 3,740,000</v>
      </c>
      <c r="F330" s="1" t="str">
        <f t="shared" si="26"/>
        <v>3,740,000</v>
      </c>
      <c r="G330" s="1">
        <f t="shared" si="28"/>
        <v>3196581.196581197</v>
      </c>
      <c r="J330" s="1" t="e">
        <f t="shared" si="29"/>
        <v>#VALUE!</v>
      </c>
      <c r="L330" s="1">
        <v>14</v>
      </c>
      <c r="M330" s="1">
        <v>27</v>
      </c>
      <c r="O330" s="61" t="str">
        <f t="shared" si="30"/>
        <v xml:space="preserve"> דירת 5 חדרים</v>
      </c>
      <c r="U330" s="1" t="str">
        <f t="shared" si="31"/>
        <v xml:space="preserve"> דירת 5 חדרים 3,196,581 27 133</v>
      </c>
    </row>
    <row r="331" spans="1:21" hidden="1" x14ac:dyDescent="0.25">
      <c r="A331" s="1" t="s">
        <v>22</v>
      </c>
      <c r="C331" s="1" t="str">
        <f t="shared" si="27"/>
        <v xml:space="preserve">₪ 25,575 </v>
      </c>
      <c r="E331" s="1" t="str">
        <f t="shared" si="25"/>
        <v>₪ 25,575 ₪ 3,670,000</v>
      </c>
      <c r="F331" s="1" t="str">
        <f t="shared" si="26"/>
        <v>3,670,000</v>
      </c>
      <c r="G331" s="1">
        <f t="shared" si="28"/>
        <v>3136752.136752137</v>
      </c>
      <c r="J331" s="1" t="e">
        <f t="shared" si="29"/>
        <v>#VALUE!</v>
      </c>
      <c r="L331" s="1">
        <v>15</v>
      </c>
      <c r="M331" s="1">
        <v>27</v>
      </c>
      <c r="O331" s="61" t="str">
        <f t="shared" si="30"/>
        <v xml:space="preserve"> דירת 5 חדרים</v>
      </c>
      <c r="U331" s="1" t="str">
        <f t="shared" si="31"/>
        <v xml:space="preserve"> דירת 5 חדרים 3,136,752 27 130</v>
      </c>
    </row>
    <row r="332" spans="1:21" hidden="1" x14ac:dyDescent="0.25">
      <c r="A332" s="1" t="s">
        <v>57</v>
      </c>
      <c r="C332" s="1" t="str">
        <f t="shared" si="27"/>
        <v xml:space="preserve">₪ 25,633 </v>
      </c>
      <c r="E332" s="1" t="str">
        <f t="shared" si="25"/>
        <v>₪ 25,633 ₪ 3,140,000</v>
      </c>
      <c r="F332" s="1" t="str">
        <f t="shared" si="26"/>
        <v>3,140,000</v>
      </c>
      <c r="G332" s="1">
        <f t="shared" si="28"/>
        <v>2683760.683760684</v>
      </c>
      <c r="J332" s="1" t="e">
        <f t="shared" si="29"/>
        <v>#VALUE!</v>
      </c>
      <c r="L332" s="1">
        <v>16</v>
      </c>
      <c r="M332" s="1">
        <v>27</v>
      </c>
      <c r="O332" s="61" t="str">
        <f t="shared" si="30"/>
        <v xml:space="preserve"> דירת 5 חדרים</v>
      </c>
      <c r="U332" s="1" t="str">
        <f t="shared" si="31"/>
        <v xml:space="preserve"> דירת 5 חדרים 2,683,761 27 109</v>
      </c>
    </row>
    <row r="333" spans="1:21" hidden="1" x14ac:dyDescent="0.25">
      <c r="A333" s="1" t="s">
        <v>24</v>
      </c>
      <c r="C333" s="1" t="str">
        <f t="shared" si="27"/>
        <v xml:space="preserve">₪ 25,718 </v>
      </c>
      <c r="E333" s="1" t="str">
        <f t="shared" si="25"/>
        <v>₪ 25,718 ₪ 3,760,000</v>
      </c>
      <c r="F333" s="1" t="str">
        <f t="shared" si="26"/>
        <v>3,760,000</v>
      </c>
      <c r="G333" s="1">
        <f t="shared" si="28"/>
        <v>3213675.213675214</v>
      </c>
      <c r="J333" s="1" t="e">
        <f t="shared" si="29"/>
        <v>#VALUE!</v>
      </c>
      <c r="L333" s="1">
        <v>17</v>
      </c>
      <c r="M333" s="1">
        <v>27</v>
      </c>
      <c r="O333" s="61" t="str">
        <f t="shared" si="30"/>
        <v xml:space="preserve"> דירת 5 חדרים</v>
      </c>
      <c r="U333" s="1" t="str">
        <f t="shared" si="31"/>
        <v xml:space="preserve"> דירת 5 חדרים 3,213,675 27 133</v>
      </c>
    </row>
    <row r="334" spans="1:21" hidden="1" x14ac:dyDescent="0.25">
      <c r="A334" s="1" t="s">
        <v>25</v>
      </c>
      <c r="C334" s="1" t="str">
        <f t="shared" si="27"/>
        <v xml:space="preserve">₪ 25,714 </v>
      </c>
      <c r="E334" s="1" t="str">
        <f t="shared" si="25"/>
        <v>₪ 25,714 ₪ 3,690,000</v>
      </c>
      <c r="F334" s="1" t="str">
        <f t="shared" si="26"/>
        <v>3,690,000</v>
      </c>
      <c r="G334" s="1">
        <f t="shared" si="28"/>
        <v>3153846.153846154</v>
      </c>
      <c r="J334" s="1" t="e">
        <f t="shared" si="29"/>
        <v>#VALUE!</v>
      </c>
      <c r="L334" s="1">
        <v>18</v>
      </c>
      <c r="M334" s="1">
        <v>27</v>
      </c>
      <c r="O334" s="61" t="str">
        <f t="shared" si="30"/>
        <v xml:space="preserve"> דירת 5 חדרים</v>
      </c>
      <c r="U334" s="1" t="str">
        <f t="shared" si="31"/>
        <v xml:space="preserve"> דירת 5 חדרים 3,153,846 27 130</v>
      </c>
    </row>
    <row r="335" spans="1:21" hidden="1" x14ac:dyDescent="0.25">
      <c r="A335" s="1" t="s">
        <v>26</v>
      </c>
      <c r="C335" s="1" t="str">
        <f t="shared" si="27"/>
        <v xml:space="preserve">₪ 25,796 </v>
      </c>
      <c r="E335" s="1" t="str">
        <f t="shared" si="25"/>
        <v>₪ 25,796 ₪ 3,160,000</v>
      </c>
      <c r="F335" s="1" t="str">
        <f t="shared" si="26"/>
        <v>3,160,000</v>
      </c>
      <c r="G335" s="1">
        <f t="shared" si="28"/>
        <v>2700854.700854701</v>
      </c>
      <c r="J335" s="1" t="e">
        <f t="shared" si="29"/>
        <v>#VALUE!</v>
      </c>
      <c r="L335" s="1">
        <v>19</v>
      </c>
      <c r="M335" s="1">
        <v>27</v>
      </c>
      <c r="O335" s="61" t="str">
        <f t="shared" si="30"/>
        <v xml:space="preserve"> דירת 5 חדרים</v>
      </c>
      <c r="U335" s="1" t="str">
        <f t="shared" si="31"/>
        <v xml:space="preserve"> דירת 5 חדרים 2,700,855 27 109</v>
      </c>
    </row>
    <row r="336" spans="1:21" hidden="1" x14ac:dyDescent="0.25">
      <c r="A336" s="1" t="s">
        <v>27</v>
      </c>
      <c r="C336" s="1" t="str">
        <f t="shared" si="27"/>
        <v xml:space="preserve">₪ 25,855 </v>
      </c>
      <c r="E336" s="1" t="str">
        <f t="shared" si="25"/>
        <v>₪ 25,855 ₪ 3,780,000</v>
      </c>
      <c r="F336" s="1" t="str">
        <f t="shared" si="26"/>
        <v>3,780,000</v>
      </c>
      <c r="G336" s="1">
        <f t="shared" si="28"/>
        <v>3230769.230769231</v>
      </c>
      <c r="J336" s="1" t="e">
        <f t="shared" si="29"/>
        <v>#VALUE!</v>
      </c>
      <c r="L336" s="1">
        <v>20</v>
      </c>
      <c r="M336" s="1">
        <v>27</v>
      </c>
      <c r="O336" s="61" t="str">
        <f t="shared" si="30"/>
        <v xml:space="preserve"> דירת 5 חדרים</v>
      </c>
      <c r="U336" s="1" t="str">
        <f t="shared" si="31"/>
        <v xml:space="preserve"> דירת 5 חדרים 3,230,769 27 133</v>
      </c>
    </row>
    <row r="337" spans="1:21" hidden="1" x14ac:dyDescent="0.25">
      <c r="A337" s="1" t="s">
        <v>28</v>
      </c>
      <c r="C337" s="1" t="str">
        <f t="shared" si="27"/>
        <v xml:space="preserve">₪ 25,854 </v>
      </c>
      <c r="E337" s="1" t="str">
        <f t="shared" si="25"/>
        <v>₪ 25,854 ₪ 3,710,000</v>
      </c>
      <c r="F337" s="1" t="str">
        <f t="shared" si="26"/>
        <v>3,710,000</v>
      </c>
      <c r="G337" s="1">
        <f t="shared" si="28"/>
        <v>3170940.170940171</v>
      </c>
      <c r="J337" s="1" t="e">
        <f t="shared" si="29"/>
        <v>#VALUE!</v>
      </c>
      <c r="L337" s="1">
        <v>21</v>
      </c>
      <c r="M337" s="1">
        <v>27</v>
      </c>
      <c r="O337" s="61" t="str">
        <f t="shared" si="30"/>
        <v xml:space="preserve"> דירת 5 חדרים</v>
      </c>
      <c r="U337" s="1" t="str">
        <f t="shared" si="31"/>
        <v xml:space="preserve"> דירת 5 חדרים 3,170,940 27 130</v>
      </c>
    </row>
    <row r="338" spans="1:21" hidden="1" x14ac:dyDescent="0.25">
      <c r="A338" s="1" t="s">
        <v>29</v>
      </c>
      <c r="C338" s="1" t="str">
        <f t="shared" si="27"/>
        <v xml:space="preserve">₪ 25,959 </v>
      </c>
      <c r="E338" s="1" t="str">
        <f t="shared" si="25"/>
        <v>₪ 25,959 ₪ 3,180,000</v>
      </c>
      <c r="F338" s="1" t="str">
        <f t="shared" si="26"/>
        <v>3,180,000</v>
      </c>
      <c r="G338" s="1">
        <f t="shared" si="28"/>
        <v>2717948.717948718</v>
      </c>
      <c r="J338" s="1" t="e">
        <f t="shared" si="29"/>
        <v>#VALUE!</v>
      </c>
      <c r="L338" s="1">
        <v>22</v>
      </c>
      <c r="M338" s="1">
        <v>27</v>
      </c>
      <c r="O338" s="61" t="str">
        <f t="shared" si="30"/>
        <v xml:space="preserve"> דירת 5 חדרים</v>
      </c>
      <c r="U338" s="1" t="str">
        <f t="shared" si="31"/>
        <v xml:space="preserve"> דירת 5 חדרים 2,717,949 27 109</v>
      </c>
    </row>
    <row r="339" spans="1:21" hidden="1" x14ac:dyDescent="0.25">
      <c r="A339" s="1" t="s">
        <v>30</v>
      </c>
      <c r="C339" s="1" t="str">
        <f t="shared" si="27"/>
        <v xml:space="preserve">₪ 27,895 </v>
      </c>
      <c r="E339" s="1" t="str">
        <f t="shared" si="25"/>
        <v>₪ 27,895 ₪ 4,240,000</v>
      </c>
      <c r="F339" s="1" t="str">
        <f t="shared" si="26"/>
        <v>4,240,000</v>
      </c>
      <c r="G339" s="1">
        <f t="shared" si="28"/>
        <v>3623931.623931624</v>
      </c>
      <c r="J339" s="1" t="e">
        <f t="shared" ref="J339:J342" si="32">F339/C339</f>
        <v>#VALUE!</v>
      </c>
      <c r="L339" s="1">
        <v>23</v>
      </c>
      <c r="N339" s="1">
        <v>40</v>
      </c>
      <c r="O339" s="61" t="str">
        <f t="shared" si="30"/>
        <v>טהאוז 6 חדרים</v>
      </c>
      <c r="U339" s="1" t="str">
        <f t="shared" si="31"/>
        <v>טהאוז 6 חדרים 3,623,932 40 152</v>
      </c>
    </row>
    <row r="340" spans="1:21" hidden="1" x14ac:dyDescent="0.25">
      <c r="A340" s="1" t="s">
        <v>31</v>
      </c>
      <c r="C340" s="1" t="str">
        <f t="shared" si="27"/>
        <v xml:space="preserve">₪ 27,895 </v>
      </c>
      <c r="E340" s="1" t="str">
        <f t="shared" si="25"/>
        <v>₪ 27,895 ₪ 4,240,000</v>
      </c>
      <c r="F340" s="1" t="str">
        <f t="shared" si="26"/>
        <v>4,240,000</v>
      </c>
      <c r="G340" s="1">
        <f t="shared" si="28"/>
        <v>3623931.623931624</v>
      </c>
      <c r="J340" s="1" t="e">
        <f t="shared" si="32"/>
        <v>#VALUE!</v>
      </c>
      <c r="L340" s="1">
        <v>24</v>
      </c>
      <c r="N340" s="1">
        <v>40</v>
      </c>
      <c r="O340" s="61" t="str">
        <f t="shared" si="30"/>
        <v>טהאוז 6 חדרים</v>
      </c>
      <c r="U340" s="1" t="str">
        <f t="shared" si="31"/>
        <v>טהאוז 6 חדרים 3,623,932 40 152</v>
      </c>
    </row>
    <row r="341" spans="1:21" hidden="1" x14ac:dyDescent="0.25">
      <c r="A341" s="1" t="s">
        <v>32</v>
      </c>
      <c r="C341" s="1" t="str">
        <f t="shared" si="27"/>
        <v xml:space="preserve">₪ 27,861 </v>
      </c>
      <c r="E341" s="1" t="str">
        <f t="shared" si="25"/>
        <v>₪ 27,861 ₪ 5,210,000</v>
      </c>
      <c r="F341" s="1" t="str">
        <f t="shared" si="26"/>
        <v>5,210,000</v>
      </c>
      <c r="G341" s="1">
        <f t="shared" si="28"/>
        <v>4452991.452991453</v>
      </c>
      <c r="J341" s="1" t="e">
        <f t="shared" si="32"/>
        <v>#VALUE!</v>
      </c>
      <c r="L341" s="1">
        <v>25</v>
      </c>
      <c r="N341" s="1">
        <v>70</v>
      </c>
      <c r="O341" s="61" t="str">
        <f t="shared" si="30"/>
        <v>ופלקס 5 חדרים</v>
      </c>
      <c r="U341" s="1" t="str">
        <f t="shared" si="31"/>
        <v>ופלקס 5 חדרים 4,452,991 70 187</v>
      </c>
    </row>
    <row r="342" spans="1:21" hidden="1" x14ac:dyDescent="0.25">
      <c r="A342" s="1" t="s">
        <v>33</v>
      </c>
      <c r="C342" s="1" t="str">
        <f t="shared" si="27"/>
        <v xml:space="preserve">₪ 27,861 </v>
      </c>
      <c r="E342" s="1" t="str">
        <f t="shared" si="25"/>
        <v>₪ 27,861 ₪ 5,210,000</v>
      </c>
      <c r="F342" s="1" t="str">
        <f t="shared" si="26"/>
        <v>5,210,000</v>
      </c>
      <c r="G342" s="1">
        <f t="shared" si="28"/>
        <v>4452991.452991453</v>
      </c>
      <c r="J342" s="1" t="e">
        <f t="shared" si="32"/>
        <v>#VALUE!</v>
      </c>
      <c r="L342" s="1">
        <v>26</v>
      </c>
      <c r="N342" s="1">
        <v>70</v>
      </c>
      <c r="O342" s="61" t="str">
        <f t="shared" si="30"/>
        <v>ופלקס 5 חדרים</v>
      </c>
      <c r="U342" s="1" t="str">
        <f t="shared" si="31"/>
        <v>ופלקס 5 חדרים 4,452,991 70 187</v>
      </c>
    </row>
    <row r="343" spans="1:21" hidden="1" x14ac:dyDescent="0.25"/>
    <row r="345" spans="1:21" ht="13.5" thickBot="1" x14ac:dyDescent="0.35">
      <c r="A345" s="71" t="s">
        <v>158</v>
      </c>
      <c r="B345" s="71" t="s">
        <v>157</v>
      </c>
    </row>
    <row r="346" spans="1:21" ht="14" thickTop="1" thickBot="1" x14ac:dyDescent="0.35">
      <c r="A346" s="56">
        <f>E76/D51</f>
        <v>0.34586259906319883</v>
      </c>
      <c r="B346" s="56">
        <f>E76/E69</f>
        <v>0.24261546089123739</v>
      </c>
    </row>
    <row r="347" spans="1:21" ht="13" thickTop="1" x14ac:dyDescent="0.25">
      <c r="A347" s="15"/>
      <c r="B347" s="15" t="s">
        <v>201</v>
      </c>
    </row>
  </sheetData>
  <pageMargins left="0.7" right="0.7" top="0.75" bottom="0.75" header="0.3" footer="0.3"/>
  <pageSetup paperSize="9" scale="5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Raskin Option</vt:lpstr>
      <vt:lpstr>Tessa Option</vt:lpstr>
      <vt:lpstr>Consolidated </vt:lpstr>
      <vt:lpstr>Sheet1</vt:lpstr>
      <vt:lpstr>Sheet2</vt:lpstr>
      <vt:lpstr>'Consolidated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Adrian Sackson</cp:lastModifiedBy>
  <dcterms:created xsi:type="dcterms:W3CDTF">2019-05-26T06:22:21Z</dcterms:created>
  <dcterms:modified xsi:type="dcterms:W3CDTF">2019-05-26T06:22:34Z</dcterms:modified>
</cp:coreProperties>
</file>