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Academic Language Experts\"/>
    </mc:Choice>
  </mc:AlternateContent>
  <xr:revisionPtr revIDLastSave="0" documentId="8_{239BA836-636C-4D22-8B2E-5C8C5562E992}" xr6:coauthVersionLast="38" xr6:coauthVersionMax="38" xr10:uidLastSave="{00000000-0000-0000-0000-000000000000}"/>
  <bookViews>
    <workbookView xWindow="0" yWindow="0" windowWidth="24000" windowHeight="9525" xr2:uid="{037FCFF7-4DE5-4F92-AE58-8294F99FED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D55" i="1"/>
  <c r="G64" i="1"/>
  <c r="E74" i="1" s="1"/>
  <c r="F64" i="1"/>
  <c r="F76" i="1"/>
  <c r="D76" i="1"/>
  <c r="E76" i="1" s="1"/>
  <c r="F75" i="1"/>
  <c r="D74" i="1"/>
  <c r="D69" i="1"/>
  <c r="H68" i="1"/>
  <c r="G68" i="1" s="1"/>
  <c r="H67" i="1"/>
  <c r="G67" i="1" s="1"/>
  <c r="D67" i="1"/>
  <c r="H65" i="1"/>
  <c r="H69" i="1" s="1"/>
  <c r="D65" i="1"/>
  <c r="D66" i="1" s="1"/>
  <c r="H66" i="1" s="1"/>
  <c r="D53" i="1"/>
  <c r="E47" i="1"/>
  <c r="H47" i="1" s="1"/>
  <c r="G46" i="1"/>
  <c r="E46" i="1"/>
  <c r="H46" i="1" s="1"/>
  <c r="E42" i="1" s="1"/>
  <c r="G45" i="1"/>
  <c r="F45" i="1"/>
  <c r="H44" i="1"/>
  <c r="G44" i="1"/>
  <c r="F44" i="1"/>
  <c r="H41" i="1"/>
  <c r="F41" i="1"/>
  <c r="E41" i="1"/>
  <c r="G41" i="1" s="1"/>
  <c r="G36" i="1"/>
  <c r="H36" i="1" s="1"/>
  <c r="F36" i="1"/>
  <c r="F39" i="1" s="1"/>
  <c r="E75" i="1" l="1"/>
  <c r="D75" i="1"/>
  <c r="D77" i="1" s="1"/>
  <c r="D78" i="1" s="1"/>
  <c r="F77" i="1"/>
  <c r="E53" i="1"/>
  <c r="H53" i="1" s="1"/>
  <c r="G69" i="1"/>
  <c r="E54" i="1"/>
  <c r="H54" i="1" s="1"/>
  <c r="G66" i="1"/>
  <c r="F66" i="1"/>
  <c r="F68" i="1"/>
  <c r="F65" i="1"/>
  <c r="F67" i="1"/>
  <c r="G65" i="1"/>
  <c r="H38" i="1"/>
  <c r="H40" i="1"/>
  <c r="E38" i="1"/>
  <c r="E39" i="1" s="1"/>
  <c r="E43" i="1"/>
  <c r="H43" i="1" s="1"/>
  <c r="H42" i="1"/>
  <c r="H39" i="1"/>
  <c r="G47" i="1"/>
  <c r="F47" i="1"/>
  <c r="F38" i="1"/>
  <c r="F40" i="1" s="1"/>
  <c r="F46" i="1"/>
  <c r="G39" i="1"/>
  <c r="G38" i="1"/>
  <c r="G40" i="1" s="1"/>
  <c r="G35" i="1"/>
  <c r="D52" i="1"/>
  <c r="D50" i="1"/>
  <c r="D46" i="1"/>
  <c r="D38" i="1"/>
  <c r="D13" i="1"/>
  <c r="D16" i="1"/>
  <c r="D11" i="1"/>
  <c r="D10" i="1"/>
  <c r="D8" i="1"/>
  <c r="F78" i="1" l="1"/>
  <c r="E77" i="1"/>
  <c r="E78" i="1" s="1"/>
  <c r="G54" i="1"/>
  <c r="F54" i="1"/>
  <c r="G53" i="1"/>
  <c r="F53" i="1"/>
  <c r="F69" i="1"/>
  <c r="G42" i="1"/>
  <c r="G48" i="1" s="1"/>
  <c r="G49" i="1" s="1"/>
  <c r="F42" i="1"/>
  <c r="H48" i="1"/>
  <c r="G43" i="1"/>
  <c r="F43" i="1"/>
  <c r="H49" i="1" l="1"/>
  <c r="E50" i="1"/>
  <c r="H50" i="1" s="1"/>
  <c r="F48" i="1"/>
  <c r="F49" i="1" s="1"/>
  <c r="F50" i="1" l="1"/>
  <c r="F51" i="1" s="1"/>
  <c r="H51" i="1"/>
  <c r="G50" i="1"/>
  <c r="G51" i="1" s="1"/>
  <c r="E52" i="1" l="1"/>
  <c r="H52" i="1" s="1"/>
  <c r="G52" i="1" l="1"/>
  <c r="G55" i="1" s="1"/>
  <c r="F52" i="1"/>
  <c r="F55" i="1" s="1"/>
  <c r="H55" i="1"/>
  <c r="F60" i="1" l="1"/>
  <c r="F59" i="1"/>
  <c r="G59" i="1"/>
  <c r="G60" i="1"/>
  <c r="H60" i="1" l="1"/>
  <c r="H59" i="1"/>
</calcChain>
</file>

<file path=xl/sharedStrings.xml><?xml version="1.0" encoding="utf-8"?>
<sst xmlns="http://schemas.openxmlformats.org/spreadsheetml/2006/main" count="70" uniqueCount="69">
  <si>
    <t>Profitability Analysis Givat Shmuel</t>
  </si>
  <si>
    <t>Lot Address:</t>
  </si>
  <si>
    <t>Haetrog Givat Shmuel</t>
  </si>
  <si>
    <t>Block:</t>
  </si>
  <si>
    <t>Parcel:</t>
  </si>
  <si>
    <t>315, 317</t>
  </si>
  <si>
    <t>Area of Lot 57 net in SqM.</t>
  </si>
  <si>
    <t>Area of Lot 58 net in SqM.</t>
  </si>
  <si>
    <t xml:space="preserve">Total area both lots: </t>
  </si>
  <si>
    <t xml:space="preserve">Upper service areas for construction: </t>
  </si>
  <si>
    <t>Total upper area gross:</t>
  </si>
  <si>
    <t>Ratio to parking:</t>
  </si>
  <si>
    <t xml:space="preserve">Number of required subterranean parking spaces: </t>
  </si>
  <si>
    <t>Main upper area for construction:</t>
  </si>
  <si>
    <t>Number of required upper level parking spaces:</t>
  </si>
  <si>
    <t>Average parking area:</t>
  </si>
  <si>
    <t>Cellar area:</t>
  </si>
  <si>
    <t>Cost of land (14.3%):</t>
  </si>
  <si>
    <t>Cost per dunam:</t>
  </si>
  <si>
    <t>Cost of cellar per SqM:</t>
  </si>
  <si>
    <t>Direct construction cost per SqM.:</t>
  </si>
  <si>
    <t>Construction and development taxes per Sqm:</t>
  </si>
  <si>
    <t>Purchase Tax:</t>
  </si>
  <si>
    <t>Unexpected costs (during consturction):</t>
  </si>
  <si>
    <t>Realtor fees:</t>
  </si>
  <si>
    <t>Attorney commission from sales:</t>
  </si>
  <si>
    <t>marketing costs:</t>
  </si>
  <si>
    <t>funding expenses from total investment:</t>
  </si>
  <si>
    <t>Rate of own capital:</t>
  </si>
  <si>
    <t>Maximal owm capital for the entire project:</t>
  </si>
  <si>
    <t>Gross percentage of combination:</t>
  </si>
  <si>
    <t>Budget Assessment:</t>
  </si>
  <si>
    <t>Projected expenses:</t>
  </si>
  <si>
    <t>Assessed costs:</t>
  </si>
  <si>
    <t>Land:</t>
  </si>
  <si>
    <t>Betterment levies:</t>
  </si>
  <si>
    <t>Purchase tax:</t>
  </si>
  <si>
    <t>Total land costs</t>
  </si>
  <si>
    <t>Construction taxes and development fees:</t>
  </si>
  <si>
    <t>Planning and avisors:</t>
  </si>
  <si>
    <t>Management and supervision:</t>
  </si>
  <si>
    <t>Administration and miscellaneous:</t>
  </si>
  <si>
    <t>Electricity connection:</t>
  </si>
  <si>
    <t>Costs of parking cellar:</t>
  </si>
  <si>
    <t>Construction costs of upper area, especially shell:</t>
  </si>
  <si>
    <t>Total production costs:</t>
  </si>
  <si>
    <t>Total direct costs:</t>
  </si>
  <si>
    <t>Unexpected costs (3% of production costs):</t>
  </si>
  <si>
    <t xml:space="preserve">Total expenses before funds for marketing and attorney: </t>
  </si>
  <si>
    <t>Funding expenses:</t>
  </si>
  <si>
    <t>Marketing expenses out of total intake:</t>
  </si>
  <si>
    <t>Lawyer commission from total intake:</t>
  </si>
  <si>
    <t xml:space="preserve">Total expenses: </t>
  </si>
  <si>
    <t>Own capital</t>
  </si>
  <si>
    <t>Own capital including 20% (conditioned on early sale rate):</t>
  </si>
  <si>
    <t>Own capital including 15% (conditioned on early sale rate):</t>
  </si>
  <si>
    <t>Intake:</t>
  </si>
  <si>
    <t>Area:</t>
  </si>
  <si>
    <t>Cost per SqM/parking:</t>
  </si>
  <si>
    <t>Ground floor commerce:</t>
  </si>
  <si>
    <t>Hi Tech areas and offices:</t>
  </si>
  <si>
    <t>Subterranean parking spaces:</t>
  </si>
  <si>
    <t>Upper parking spaces:</t>
  </si>
  <si>
    <t>Total project intake:</t>
  </si>
  <si>
    <t>Profitability Analysis:</t>
  </si>
  <si>
    <t>Total income:</t>
  </si>
  <si>
    <t>Total costs:</t>
  </si>
  <si>
    <t>Total profit:</t>
  </si>
  <si>
    <t>Yield for investment: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</si>
</sst>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3" fontId="0" fillId="0" borderId="1" xfId="0" applyNumberFormat="1" applyBorder="1"/>
    <xf numFmtId="3" fontId="0" fillId="0" borderId="2" xfId="0" applyNumberFormat="1" applyBorder="1"/>
    <xf numFmtId="0" fontId="4" fillId="0" borderId="3" xfId="0" applyFont="1" applyBorder="1"/>
    <xf numFmtId="3" fontId="0" fillId="0" borderId="4" xfId="0" applyNumberFormat="1" applyBorder="1"/>
    <xf numFmtId="0" fontId="4" fillId="0" borderId="5" xfId="0" applyFont="1" applyBorder="1"/>
    <xf numFmtId="3" fontId="0" fillId="0" borderId="6" xfId="0" applyNumberFormat="1" applyBorder="1"/>
    <xf numFmtId="3" fontId="4" fillId="0" borderId="3" xfId="0" applyNumberFormat="1" applyFont="1" applyBorder="1"/>
    <xf numFmtId="0" fontId="0" fillId="0" borderId="1" xfId="0" applyBorder="1"/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3" fontId="4" fillId="0" borderId="7" xfId="0" applyNumberFormat="1" applyFont="1" applyBorder="1"/>
    <xf numFmtId="3" fontId="6" fillId="2" borderId="7" xfId="0" applyNumberFormat="1" applyFont="1" applyFill="1" applyBorder="1"/>
    <xf numFmtId="3" fontId="5" fillId="2" borderId="4" xfId="0" applyNumberFormat="1" applyFont="1" applyFill="1" applyBorder="1"/>
    <xf numFmtId="3" fontId="5" fillId="2" borderId="6" xfId="0" applyNumberFormat="1" applyFont="1" applyFill="1" applyBorder="1"/>
    <xf numFmtId="3" fontId="4" fillId="0" borderId="8" xfId="0" applyNumberFormat="1" applyFont="1" applyBorder="1"/>
    <xf numFmtId="3" fontId="6" fillId="2" borderId="8" xfId="0" applyNumberFormat="1" applyFont="1" applyFill="1" applyBorder="1"/>
    <xf numFmtId="9" fontId="0" fillId="0" borderId="1" xfId="0" applyNumberFormat="1" applyBorder="1"/>
    <xf numFmtId="10" fontId="0" fillId="0" borderId="1" xfId="0" applyNumberFormat="1" applyBorder="1"/>
    <xf numFmtId="0" fontId="1" fillId="0" borderId="1" xfId="0" applyFont="1" applyBorder="1"/>
    <xf numFmtId="0" fontId="7" fillId="0" borderId="0" xfId="0" applyFont="1"/>
    <xf numFmtId="10" fontId="4" fillId="0" borderId="1" xfId="0" applyNumberFormat="1" applyFont="1" applyBorder="1" applyAlignment="1">
      <alignment horizontal="center"/>
    </xf>
    <xf numFmtId="10" fontId="6" fillId="2" borderId="1" xfId="0" applyNumberFormat="1" applyFont="1" applyFill="1" applyBorder="1" applyAlignment="1">
      <alignment horizontal="center"/>
    </xf>
    <xf numFmtId="10" fontId="8" fillId="0" borderId="1" xfId="0" applyNumberFormat="1" applyFont="1" applyBorder="1"/>
    <xf numFmtId="10" fontId="9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6B16-A2AC-4E24-8600-80D8BCEF0DAA}">
  <dimension ref="A1:H78"/>
  <sheetViews>
    <sheetView tabSelected="1" topLeftCell="D1" workbookViewId="0">
      <selection activeCell="H45" sqref="H45"/>
    </sheetView>
  </sheetViews>
  <sheetFormatPr defaultRowHeight="15" x14ac:dyDescent="0.25"/>
  <cols>
    <col min="1" max="1" width="1.28515625" customWidth="1"/>
    <col min="2" max="2" width="0.5703125" customWidth="1"/>
    <col min="3" max="3" width="46.5703125" bestFit="1" customWidth="1"/>
    <col min="4" max="4" width="15.5703125" customWidth="1"/>
    <col min="5" max="5" width="11.140625" bestFit="1" customWidth="1"/>
    <col min="6" max="6" width="15" customWidth="1"/>
    <col min="7" max="7" width="16" customWidth="1"/>
    <col min="8" max="8" width="16.5703125" customWidth="1"/>
    <col min="9" max="9" width="9.42578125" customWidth="1"/>
  </cols>
  <sheetData>
    <row r="1" spans="1:4" ht="18.75" x14ac:dyDescent="0.3">
      <c r="A1" s="4" t="s">
        <v>0</v>
      </c>
    </row>
    <row r="3" spans="1:4" x14ac:dyDescent="0.25">
      <c r="C3" t="s">
        <v>1</v>
      </c>
      <c r="D3" t="s">
        <v>2</v>
      </c>
    </row>
    <row r="4" spans="1:4" x14ac:dyDescent="0.25">
      <c r="C4" t="s">
        <v>3</v>
      </c>
      <c r="D4">
        <v>6368</v>
      </c>
    </row>
    <row r="5" spans="1:4" x14ac:dyDescent="0.25">
      <c r="C5" t="s">
        <v>4</v>
      </c>
      <c r="D5" t="s">
        <v>5</v>
      </c>
    </row>
    <row r="6" spans="1:4" x14ac:dyDescent="0.25">
      <c r="C6" t="s">
        <v>6</v>
      </c>
      <c r="D6" s="1">
        <v>3516</v>
      </c>
    </row>
    <row r="7" spans="1:4" x14ac:dyDescent="0.25">
      <c r="C7" t="s">
        <v>7</v>
      </c>
      <c r="D7" s="1">
        <v>4578</v>
      </c>
    </row>
    <row r="8" spans="1:4" x14ac:dyDescent="0.25">
      <c r="C8" t="s">
        <v>8</v>
      </c>
      <c r="D8" s="1">
        <f>D6+D7</f>
        <v>8094</v>
      </c>
    </row>
    <row r="9" spans="1:4" x14ac:dyDescent="0.25">
      <c r="C9" t="s">
        <v>13</v>
      </c>
      <c r="D9" s="1">
        <v>15900</v>
      </c>
    </row>
    <row r="10" spans="1:4" x14ac:dyDescent="0.25">
      <c r="C10" t="s">
        <v>9</v>
      </c>
      <c r="D10" s="1">
        <f>D9*0.2</f>
        <v>3180</v>
      </c>
    </row>
    <row r="11" spans="1:4" x14ac:dyDescent="0.25">
      <c r="C11" t="s">
        <v>10</v>
      </c>
      <c r="D11" s="1">
        <f>SUM(D9:D10)</f>
        <v>19080</v>
      </c>
    </row>
    <row r="12" spans="1:4" x14ac:dyDescent="0.25">
      <c r="C12" t="s">
        <v>11</v>
      </c>
      <c r="D12" s="1">
        <v>40</v>
      </c>
    </row>
    <row r="13" spans="1:4" x14ac:dyDescent="0.25">
      <c r="C13" t="s">
        <v>12</v>
      </c>
      <c r="D13" s="1">
        <f>D16/D15</f>
        <v>370.01142857142861</v>
      </c>
    </row>
    <row r="14" spans="1:4" x14ac:dyDescent="0.25">
      <c r="C14" t="s">
        <v>14</v>
      </c>
      <c r="D14" s="1">
        <v>0</v>
      </c>
    </row>
    <row r="15" spans="1:4" x14ac:dyDescent="0.25">
      <c r="C15" t="s">
        <v>15</v>
      </c>
      <c r="D15" s="1">
        <v>35</v>
      </c>
    </row>
    <row r="16" spans="1:4" x14ac:dyDescent="0.25">
      <c r="C16" t="s">
        <v>16</v>
      </c>
      <c r="D16" s="1">
        <f>D8*2*0.8</f>
        <v>12950.400000000001</v>
      </c>
    </row>
    <row r="17" spans="3:4" x14ac:dyDescent="0.25">
      <c r="C17" t="s">
        <v>17</v>
      </c>
      <c r="D17" s="1">
        <v>5290000</v>
      </c>
    </row>
    <row r="18" spans="3:4" x14ac:dyDescent="0.25">
      <c r="C18" t="s">
        <v>18</v>
      </c>
      <c r="D18" s="1">
        <v>5000000</v>
      </c>
    </row>
    <row r="19" spans="3:4" x14ac:dyDescent="0.25">
      <c r="C19" t="s">
        <v>19</v>
      </c>
      <c r="D19" s="1">
        <v>2500</v>
      </c>
    </row>
    <row r="20" spans="3:4" x14ac:dyDescent="0.25">
      <c r="C20" t="s">
        <v>20</v>
      </c>
      <c r="D20" s="1">
        <v>4000</v>
      </c>
    </row>
    <row r="21" spans="3:4" x14ac:dyDescent="0.25">
      <c r="C21" t="s">
        <v>21</v>
      </c>
      <c r="D21" s="1">
        <v>380</v>
      </c>
    </row>
    <row r="22" spans="3:4" x14ac:dyDescent="0.25">
      <c r="C22" t="s">
        <v>22</v>
      </c>
      <c r="D22" s="2">
        <v>0.06</v>
      </c>
    </row>
    <row r="23" spans="3:4" x14ac:dyDescent="0.25">
      <c r="C23" t="s">
        <v>23</v>
      </c>
      <c r="D23" s="2">
        <v>0.03</v>
      </c>
    </row>
    <row r="24" spans="3:4" x14ac:dyDescent="0.25">
      <c r="C24" t="s">
        <v>24</v>
      </c>
      <c r="D24" s="3">
        <v>1.4999999999999999E-2</v>
      </c>
    </row>
    <row r="25" spans="3:4" x14ac:dyDescent="0.25">
      <c r="C25" t="s">
        <v>25</v>
      </c>
      <c r="D25" s="2">
        <v>0.02</v>
      </c>
    </row>
    <row r="26" spans="3:4" x14ac:dyDescent="0.25">
      <c r="C26" t="s">
        <v>26</v>
      </c>
      <c r="D26" s="3">
        <v>0.03</v>
      </c>
    </row>
    <row r="27" spans="3:4" x14ac:dyDescent="0.25">
      <c r="C27" t="s">
        <v>27</v>
      </c>
      <c r="D27" s="2">
        <v>0.05</v>
      </c>
    </row>
    <row r="28" spans="3:4" x14ac:dyDescent="0.25">
      <c r="C28" t="s">
        <v>28</v>
      </c>
      <c r="D28" s="2">
        <v>0.25</v>
      </c>
    </row>
    <row r="29" spans="3:4" x14ac:dyDescent="0.25">
      <c r="C29" t="s">
        <v>29</v>
      </c>
      <c r="D29" s="1">
        <f>D28*F55</f>
        <v>10039475.880298927</v>
      </c>
    </row>
    <row r="30" spans="3:4" x14ac:dyDescent="0.25">
      <c r="C30" t="s">
        <v>30</v>
      </c>
      <c r="D30" s="3">
        <v>0.3</v>
      </c>
    </row>
    <row r="32" spans="3:4" ht="18.75" x14ac:dyDescent="0.3">
      <c r="C32" s="4" t="s">
        <v>31</v>
      </c>
    </row>
    <row r="34" spans="3:8" ht="17.25" x14ac:dyDescent="0.3">
      <c r="C34" s="6" t="s">
        <v>32</v>
      </c>
      <c r="D34" s="6" t="s">
        <v>33</v>
      </c>
    </row>
    <row r="35" spans="3:8" x14ac:dyDescent="0.25">
      <c r="F35" s="3">
        <v>0.20250000000000001</v>
      </c>
      <c r="G35" s="3">
        <f>1-F35</f>
        <v>0.79749999999999999</v>
      </c>
      <c r="H35" s="2">
        <v>1</v>
      </c>
    </row>
    <row r="36" spans="3:8" x14ac:dyDescent="0.25">
      <c r="C36" s="14" t="s">
        <v>34</v>
      </c>
      <c r="D36" s="14">
        <v>1</v>
      </c>
      <c r="E36" s="7"/>
      <c r="F36" s="7">
        <f>F35*D18*D8/1000</f>
        <v>8195175.0000000009</v>
      </c>
      <c r="G36" s="15">
        <f>G35*D18*D8/1000</f>
        <v>32274825</v>
      </c>
      <c r="H36" s="7">
        <f>SUM($F36:G$36)</f>
        <v>40470000</v>
      </c>
    </row>
    <row r="37" spans="3:8" x14ac:dyDescent="0.25">
      <c r="C37" s="14" t="s">
        <v>35</v>
      </c>
      <c r="D37" s="14">
        <v>1</v>
      </c>
      <c r="E37" s="7"/>
      <c r="F37" s="7">
        <v>0</v>
      </c>
      <c r="G37" s="15">
        <v>0</v>
      </c>
      <c r="H37" s="7">
        <v>0</v>
      </c>
    </row>
    <row r="38" spans="3:8" x14ac:dyDescent="0.25">
      <c r="C38" s="14" t="s">
        <v>36</v>
      </c>
      <c r="D38" s="23">
        <f>D22</f>
        <v>0.06</v>
      </c>
      <c r="E38" s="7">
        <f>H36</f>
        <v>40470000</v>
      </c>
      <c r="F38" s="7">
        <f>F36*D38</f>
        <v>491710.50000000006</v>
      </c>
      <c r="G38" s="15">
        <f>G36*D38</f>
        <v>1936489.5</v>
      </c>
      <c r="H38" s="7">
        <f>D38*H36</f>
        <v>2428200</v>
      </c>
    </row>
    <row r="39" spans="3:8" ht="15.75" thickBot="1" x14ac:dyDescent="0.3">
      <c r="C39" s="14" t="s">
        <v>24</v>
      </c>
      <c r="D39" s="24">
        <v>0.01</v>
      </c>
      <c r="E39" s="8">
        <f>E38</f>
        <v>40470000</v>
      </c>
      <c r="F39" s="8">
        <f>F36*D39</f>
        <v>81951.750000000015</v>
      </c>
      <c r="G39" s="16">
        <f>G36*1%</f>
        <v>322748.25</v>
      </c>
      <c r="H39" s="7">
        <f>F39+G39</f>
        <v>404700</v>
      </c>
    </row>
    <row r="40" spans="3:8" ht="15.75" thickBot="1" x14ac:dyDescent="0.3">
      <c r="C40" s="25" t="s">
        <v>37</v>
      </c>
      <c r="D40" s="14"/>
      <c r="E40" s="9"/>
      <c r="F40" s="17">
        <f>SUM(F36:F39)</f>
        <v>8768837.2500000019</v>
      </c>
      <c r="G40" s="18">
        <f>SUM(G36:G39)</f>
        <v>34534062.75</v>
      </c>
      <c r="H40" s="17">
        <f>SUM(H36:H39)</f>
        <v>43302900</v>
      </c>
    </row>
    <row r="41" spans="3:8" x14ac:dyDescent="0.25">
      <c r="C41" s="14" t="s">
        <v>38</v>
      </c>
      <c r="D41" s="14">
        <v>380</v>
      </c>
      <c r="E41" s="10">
        <f>D11+(D16/2)</f>
        <v>25555.200000000001</v>
      </c>
      <c r="F41" s="10">
        <f>$F$35*$E41*$D41</f>
        <v>1966472.6400000004</v>
      </c>
      <c r="G41" s="19">
        <f>$G$35*$E41*$D41</f>
        <v>7744503.3600000003</v>
      </c>
      <c r="H41" s="10">
        <f>D41*E41</f>
        <v>9710976</v>
      </c>
    </row>
    <row r="42" spans="3:8" x14ac:dyDescent="0.25">
      <c r="C42" s="14" t="s">
        <v>39</v>
      </c>
      <c r="D42" s="23">
        <v>0.03</v>
      </c>
      <c r="E42" s="7">
        <f>H46+H47</f>
        <v>108696000</v>
      </c>
      <c r="F42" s="7">
        <f>$H42*$F$35</f>
        <v>660328.20000000007</v>
      </c>
      <c r="G42" s="19">
        <f>$G$35*$H42</f>
        <v>2600551.7999999998</v>
      </c>
      <c r="H42" s="10">
        <f>E42*D42</f>
        <v>3260880</v>
      </c>
    </row>
    <row r="43" spans="3:8" x14ac:dyDescent="0.25">
      <c r="C43" s="14" t="s">
        <v>40</v>
      </c>
      <c r="D43" s="24">
        <v>0.02</v>
      </c>
      <c r="E43" s="7">
        <f>E42</f>
        <v>108696000</v>
      </c>
      <c r="F43" s="7">
        <f>$H43*$F$35</f>
        <v>440218.80000000005</v>
      </c>
      <c r="G43" s="19">
        <f>$G$35*$H43</f>
        <v>1733701.2</v>
      </c>
      <c r="H43" s="10">
        <f>D43*E43</f>
        <v>2173920</v>
      </c>
    </row>
    <row r="44" spans="3:8" x14ac:dyDescent="0.25">
      <c r="C44" s="14" t="s">
        <v>41</v>
      </c>
      <c r="D44" s="24">
        <v>0.03</v>
      </c>
      <c r="E44" s="7">
        <v>190000000</v>
      </c>
      <c r="F44" s="7">
        <f>H44*F35</f>
        <v>1154250</v>
      </c>
      <c r="G44" s="19">
        <f>H44*G35</f>
        <v>4545750</v>
      </c>
      <c r="H44" s="10">
        <f>D44*E44</f>
        <v>5700000</v>
      </c>
    </row>
    <row r="45" spans="3:8" x14ac:dyDescent="0.25">
      <c r="C45" s="14" t="s">
        <v>42</v>
      </c>
      <c r="D45" s="14">
        <v>1</v>
      </c>
      <c r="E45" s="7">
        <v>1000000</v>
      </c>
      <c r="F45" s="7">
        <f>$H45*$F$35</f>
        <v>151875</v>
      </c>
      <c r="G45" s="19">
        <f>$G$35*$H45</f>
        <v>598125</v>
      </c>
      <c r="H45" s="10">
        <v>750000</v>
      </c>
    </row>
    <row r="46" spans="3:8" x14ac:dyDescent="0.25">
      <c r="C46" s="14" t="s">
        <v>43</v>
      </c>
      <c r="D46" s="7">
        <f>D19</f>
        <v>2500</v>
      </c>
      <c r="E46" s="7">
        <f>D16</f>
        <v>12950.400000000001</v>
      </c>
      <c r="F46" s="7">
        <f>E46*D46*F35</f>
        <v>6556140.0000000009</v>
      </c>
      <c r="G46" s="19">
        <f>G35*D46*E46</f>
        <v>25819860.000000004</v>
      </c>
      <c r="H46" s="10">
        <f>E46*D46</f>
        <v>32376000.000000004</v>
      </c>
    </row>
    <row r="47" spans="3:8" ht="15.75" thickBot="1" x14ac:dyDescent="0.3">
      <c r="C47" s="14" t="s">
        <v>44</v>
      </c>
      <c r="D47" s="7">
        <v>4000</v>
      </c>
      <c r="E47" s="8">
        <f>D11</f>
        <v>19080</v>
      </c>
      <c r="F47" s="8">
        <f>H47*F35</f>
        <v>15454800.000000002</v>
      </c>
      <c r="G47" s="20">
        <f>H47*G35</f>
        <v>60865200</v>
      </c>
      <c r="H47" s="10">
        <f>E47*D47</f>
        <v>76320000</v>
      </c>
    </row>
    <row r="48" spans="3:8" ht="15.75" thickBot="1" x14ac:dyDescent="0.3">
      <c r="C48" s="25" t="s">
        <v>45</v>
      </c>
      <c r="D48" s="14"/>
      <c r="E48" s="9"/>
      <c r="F48" s="17">
        <f>SUM(F41:F47)</f>
        <v>26384084.640000001</v>
      </c>
      <c r="G48" s="18">
        <f>SUM(G41:G47)</f>
        <v>103907691.36</v>
      </c>
      <c r="H48" s="17">
        <f>SUM(H41:H47)</f>
        <v>130291776</v>
      </c>
    </row>
    <row r="49" spans="3:8" ht="15.75" thickBot="1" x14ac:dyDescent="0.3">
      <c r="C49" s="25" t="s">
        <v>46</v>
      </c>
      <c r="D49" s="14"/>
      <c r="E49" s="11"/>
      <c r="F49" s="21">
        <f>F48+F40</f>
        <v>35152921.890000001</v>
      </c>
      <c r="G49" s="22">
        <f>G48+G40</f>
        <v>138441754.11000001</v>
      </c>
      <c r="H49" s="17">
        <f>H48+H40</f>
        <v>173594676</v>
      </c>
    </row>
    <row r="50" spans="3:8" ht="15.75" thickBot="1" x14ac:dyDescent="0.3">
      <c r="C50" s="14" t="s">
        <v>47</v>
      </c>
      <c r="D50" s="23">
        <f>D23</f>
        <v>0.03</v>
      </c>
      <c r="E50" s="12">
        <f>H48</f>
        <v>130291776</v>
      </c>
      <c r="F50" s="12">
        <f>H50*F35</f>
        <v>791522.5392</v>
      </c>
      <c r="G50" s="20">
        <f>H50*G35</f>
        <v>3117230.7407999998</v>
      </c>
      <c r="H50" s="7">
        <f>E50*D50</f>
        <v>3908753.28</v>
      </c>
    </row>
    <row r="51" spans="3:8" ht="15.75" thickBot="1" x14ac:dyDescent="0.3">
      <c r="C51" s="25" t="s">
        <v>48</v>
      </c>
      <c r="D51" s="14"/>
      <c r="E51" s="13"/>
      <c r="F51" s="17">
        <f>SUM(F49:F50)</f>
        <v>35944444.429200001</v>
      </c>
      <c r="G51" s="18">
        <f>G49+G50</f>
        <v>141558984.85080001</v>
      </c>
      <c r="H51" s="17">
        <f>H50+H49</f>
        <v>177503429.28</v>
      </c>
    </row>
    <row r="52" spans="3:8" x14ac:dyDescent="0.25">
      <c r="C52" s="25" t="s">
        <v>49</v>
      </c>
      <c r="D52" s="23">
        <f>D27</f>
        <v>0.05</v>
      </c>
      <c r="E52" s="10">
        <f>H51</f>
        <v>177503429.28</v>
      </c>
      <c r="F52" s="10">
        <f>H52*F35</f>
        <v>1797222.2214600001</v>
      </c>
      <c r="G52" s="19">
        <f>H52*G35</f>
        <v>7077949.24254</v>
      </c>
      <c r="H52" s="7">
        <f>E52*D52</f>
        <v>8875171.4639999997</v>
      </c>
    </row>
    <row r="53" spans="3:8" x14ac:dyDescent="0.25">
      <c r="C53" s="25" t="s">
        <v>50</v>
      </c>
      <c r="D53" s="24">
        <f>D26</f>
        <v>0.03</v>
      </c>
      <c r="E53" s="7">
        <f>H69</f>
        <v>238640678.57142857</v>
      </c>
      <c r="F53" s="7">
        <f>H53*F35</f>
        <v>1449742.1223214285</v>
      </c>
      <c r="G53" s="15">
        <f>H53*G35</f>
        <v>5709478.2348214276</v>
      </c>
      <c r="H53" s="7">
        <f>D53*E53</f>
        <v>7159220.3571428563</v>
      </c>
    </row>
    <row r="54" spans="3:8" ht="15.75" thickBot="1" x14ac:dyDescent="0.3">
      <c r="C54" s="25" t="s">
        <v>51</v>
      </c>
      <c r="D54" s="24">
        <v>0.02</v>
      </c>
      <c r="E54" s="7">
        <f>H69</f>
        <v>238640678.57142857</v>
      </c>
      <c r="F54" s="7">
        <f>H54*F35</f>
        <v>966494.74821428582</v>
      </c>
      <c r="G54" s="15">
        <f>H54*G35</f>
        <v>3806318.823214286</v>
      </c>
      <c r="H54" s="7">
        <f>E54*D54</f>
        <v>4772813.5714285718</v>
      </c>
    </row>
    <row r="55" spans="3:8" ht="15.75" thickBot="1" x14ac:dyDescent="0.3">
      <c r="C55" s="14" t="s">
        <v>52</v>
      </c>
      <c r="D55" s="23">
        <f>SUM(D52:D54)</f>
        <v>0.1</v>
      </c>
      <c r="E55" s="14"/>
      <c r="F55" s="17">
        <f>SUM(F51:F54)</f>
        <v>40157903.52119571</v>
      </c>
      <c r="G55" s="18">
        <f>SUM(G51:G54)</f>
        <v>158152731.15137574</v>
      </c>
      <c r="H55" s="17">
        <f>SUM(H51:H54)</f>
        <v>198310634.67257142</v>
      </c>
    </row>
    <row r="57" spans="3:8" x14ac:dyDescent="0.25">
      <c r="C57" s="26" t="s">
        <v>53</v>
      </c>
    </row>
    <row r="58" spans="3:8" ht="15.75" thickBot="1" x14ac:dyDescent="0.3"/>
    <row r="59" spans="3:8" ht="15.75" thickBot="1" x14ac:dyDescent="0.3">
      <c r="C59" s="5" t="s">
        <v>54</v>
      </c>
      <c r="E59" s="2">
        <v>0.2</v>
      </c>
      <c r="F59" s="17">
        <f>F55*E59</f>
        <v>8031580.7042391421</v>
      </c>
      <c r="G59" s="18">
        <f>G55*E59</f>
        <v>31630546.23027515</v>
      </c>
      <c r="H59" s="17">
        <f>F59+G59</f>
        <v>39662126.934514292</v>
      </c>
    </row>
    <row r="60" spans="3:8" ht="15.75" thickBot="1" x14ac:dyDescent="0.3">
      <c r="C60" s="5" t="s">
        <v>55</v>
      </c>
      <c r="E60" s="2">
        <v>0.15</v>
      </c>
      <c r="F60" s="17">
        <f>F55*E60</f>
        <v>6023685.5281793559</v>
      </c>
      <c r="G60" s="18">
        <f>E60*G55</f>
        <v>23722909.672706362</v>
      </c>
      <c r="H60" s="17">
        <f>G60+F60</f>
        <v>29746595.200885717</v>
      </c>
    </row>
    <row r="62" spans="3:8" ht="17.25" x14ac:dyDescent="0.3">
      <c r="C62" s="6" t="s">
        <v>56</v>
      </c>
    </row>
    <row r="64" spans="3:8" x14ac:dyDescent="0.25">
      <c r="C64" s="14"/>
      <c r="D64" s="14" t="s">
        <v>57</v>
      </c>
      <c r="E64" s="14" t="s">
        <v>58</v>
      </c>
      <c r="F64" s="24">
        <f>F35</f>
        <v>0.20250000000000001</v>
      </c>
      <c r="G64" s="24">
        <f>G35</f>
        <v>0.79749999999999999</v>
      </c>
      <c r="H64" s="23">
        <v>1</v>
      </c>
    </row>
    <row r="65" spans="3:8" x14ac:dyDescent="0.25">
      <c r="C65" s="14" t="s">
        <v>59</v>
      </c>
      <c r="D65" s="10">
        <f>35%*D8</f>
        <v>2832.8999999999996</v>
      </c>
      <c r="E65" s="10">
        <v>18000</v>
      </c>
      <c r="F65" s="10">
        <f>H65*F64</f>
        <v>10325920.5</v>
      </c>
      <c r="G65" s="19">
        <f>$H65*$G$64</f>
        <v>40666279.499999993</v>
      </c>
      <c r="H65" s="10">
        <f>$D65*$E65</f>
        <v>50992199.999999993</v>
      </c>
    </row>
    <row r="66" spans="3:8" x14ac:dyDescent="0.25">
      <c r="C66" s="14" t="s">
        <v>60</v>
      </c>
      <c r="D66" s="7">
        <f>D11-D65</f>
        <v>16247.1</v>
      </c>
      <c r="E66" s="7">
        <v>9500</v>
      </c>
      <c r="F66" s="7">
        <f>H66*F64</f>
        <v>31255358.625000004</v>
      </c>
      <c r="G66" s="15">
        <f>$H66*$G$64</f>
        <v>123092091.375</v>
      </c>
      <c r="H66" s="7">
        <f>$D66*$E66</f>
        <v>154347450</v>
      </c>
    </row>
    <row r="67" spans="3:8" x14ac:dyDescent="0.25">
      <c r="C67" s="14" t="s">
        <v>61</v>
      </c>
      <c r="D67" s="7">
        <f>D13</f>
        <v>370.01142857142861</v>
      </c>
      <c r="E67" s="7">
        <v>90000</v>
      </c>
      <c r="F67" s="7">
        <f>H67*F64</f>
        <v>6743458.2857142864</v>
      </c>
      <c r="G67" s="15">
        <f>$H67*$G$64</f>
        <v>26557570.285714287</v>
      </c>
      <c r="H67" s="7">
        <f>$D67*$E67</f>
        <v>33301028.571428575</v>
      </c>
    </row>
    <row r="68" spans="3:8" x14ac:dyDescent="0.25">
      <c r="C68" s="14" t="s">
        <v>62</v>
      </c>
      <c r="D68" s="7">
        <v>0</v>
      </c>
      <c r="E68" s="7">
        <v>50000</v>
      </c>
      <c r="F68" s="7">
        <f>F64*H68</f>
        <v>0</v>
      </c>
      <c r="G68" s="15">
        <f>$H68*$G$64</f>
        <v>0</v>
      </c>
      <c r="H68" s="7">
        <f>D68*E68</f>
        <v>0</v>
      </c>
    </row>
    <row r="69" spans="3:8" x14ac:dyDescent="0.25">
      <c r="C69" s="14" t="s">
        <v>63</v>
      </c>
      <c r="D69" s="7">
        <f>H17</f>
        <v>0</v>
      </c>
      <c r="E69" s="7"/>
      <c r="F69" s="7">
        <f>SUM(F65:F68)</f>
        <v>48324737.410714284</v>
      </c>
      <c r="G69" s="15">
        <f>$H69*$G$64</f>
        <v>190315941.16071427</v>
      </c>
      <c r="H69" s="7">
        <f>SUM(H65:H68)</f>
        <v>238640678.57142857</v>
      </c>
    </row>
    <row r="72" spans="3:8" ht="17.25" x14ac:dyDescent="0.3">
      <c r="C72" s="6" t="s">
        <v>64</v>
      </c>
    </row>
    <row r="74" spans="3:8" x14ac:dyDescent="0.25">
      <c r="D74" s="27">
        <f>F35</f>
        <v>0.20250000000000001</v>
      </c>
      <c r="E74" s="28">
        <f>G64</f>
        <v>0.79749999999999999</v>
      </c>
      <c r="F74" s="27">
        <v>1</v>
      </c>
    </row>
    <row r="75" spans="3:8" x14ac:dyDescent="0.25">
      <c r="C75" s="14" t="s">
        <v>65</v>
      </c>
      <c r="D75" s="7">
        <f>$F75*$D$74</f>
        <v>48324737.410714291</v>
      </c>
      <c r="E75" s="15">
        <f>$F75*$E$74</f>
        <v>190315941.16071427</v>
      </c>
      <c r="F75" s="7">
        <f>H69</f>
        <v>238640678.57142857</v>
      </c>
    </row>
    <row r="76" spans="3:8" x14ac:dyDescent="0.25">
      <c r="C76" s="14" t="s">
        <v>66</v>
      </c>
      <c r="D76" s="7">
        <f>F55</f>
        <v>40157903.52119571</v>
      </c>
      <c r="E76" s="15">
        <f>F76-D76</f>
        <v>158152731.15137571</v>
      </c>
      <c r="F76" s="7">
        <f>H55</f>
        <v>198310634.67257142</v>
      </c>
    </row>
    <row r="77" spans="3:8" x14ac:dyDescent="0.25">
      <c r="C77" s="14" t="s">
        <v>67</v>
      </c>
      <c r="D77" s="7">
        <f>D75-D76</f>
        <v>8166833.8895185813</v>
      </c>
      <c r="E77" s="15">
        <f>$F77*$E$74</f>
        <v>32163210.009338573</v>
      </c>
      <c r="F77" s="7">
        <f>F75-F76</f>
        <v>40330043.898857147</v>
      </c>
    </row>
    <row r="78" spans="3:8" ht="15.75" x14ac:dyDescent="0.25">
      <c r="C78" s="14" t="s">
        <v>68</v>
      </c>
      <c r="D78" s="29">
        <f>D77/D76</f>
        <v>0.20336803402119963</v>
      </c>
      <c r="E78" s="30">
        <f>E77/E76</f>
        <v>0.20336803402119938</v>
      </c>
      <c r="F78" s="29">
        <f>F77/F76</f>
        <v>0.20336803402119938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Beck</dc:creator>
  <cp:lastModifiedBy>Jonathan Beck</cp:lastModifiedBy>
  <dcterms:created xsi:type="dcterms:W3CDTF">2018-11-24T18:44:46Z</dcterms:created>
  <dcterms:modified xsi:type="dcterms:W3CDTF">2018-11-24T19:43:38Z</dcterms:modified>
</cp:coreProperties>
</file>