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t\Downloads\"/>
    </mc:Choice>
  </mc:AlternateContent>
  <xr:revisionPtr revIDLastSave="0" documentId="8_{4E43469A-7461-4EE4-9230-4EE308FE8931}" xr6:coauthVersionLast="43" xr6:coauthVersionMax="43" xr10:uidLastSave="{00000000-0000-0000-0000-000000000000}"/>
  <bookViews>
    <workbookView xWindow="-120" yWindow="-120" windowWidth="24240" windowHeight="13140" xr2:uid="{00000000-000D-0000-FFFF-FFFF00000000}"/>
    <workbookView xWindow="-120" yWindow="-120" windowWidth="24240" windowHeight="13140" xr2:uid="{00000000-000D-0000-FFFF-FFFF01000000}"/>
  </bookViews>
  <sheets>
    <sheet name="Dashboard" sheetId="9" r:id="rId1"/>
    <sheet name="Base Case - Office &amp; Commercial" sheetId="1" r:id="rId2"/>
    <sheet name="GSP Economics Overview" sheetId="2" r:id="rId3"/>
    <sheet name="IRR" sheetId="8" r:id="rId4"/>
  </sheets>
  <definedNames>
    <definedName name="_xlnm.Print_Area" localSheetId="0">Dashboard!$B$1:$E$27</definedName>
    <definedName name="_xlnm.Print_Area" localSheetId="3">IRR!$B$2:$F$35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2" i="9" l="1"/>
  <c r="D72" i="9"/>
  <c r="E71" i="9"/>
  <c r="E70" i="9"/>
  <c r="E69" i="9"/>
  <c r="D28" i="9"/>
  <c r="E28" i="9" s="1"/>
  <c r="E25" i="9"/>
  <c r="D25" i="9"/>
  <c r="E6" i="2"/>
  <c r="D25" i="8"/>
  <c r="D24" i="8"/>
  <c r="D23" i="8"/>
  <c r="D21" i="8"/>
  <c r="E18" i="9"/>
  <c r="E14" i="9"/>
  <c r="F19" i="9"/>
  <c r="E19" i="9" s="1"/>
  <c r="F18" i="9"/>
  <c r="F17" i="9"/>
  <c r="E17" i="9" s="1"/>
  <c r="F16" i="9"/>
  <c r="E16" i="9" s="1"/>
  <c r="F15" i="9"/>
  <c r="E15" i="9" s="1"/>
  <c r="F14" i="9"/>
  <c r="E32" i="2" l="1"/>
  <c r="C22" i="8"/>
  <c r="I23" i="9" l="1"/>
  <c r="I25" i="9" s="1"/>
  <c r="C36" i="8"/>
  <c r="B36" i="8"/>
  <c r="C35" i="8"/>
  <c r="B34" i="8"/>
  <c r="D34" i="8"/>
  <c r="C34" i="8"/>
  <c r="D24" i="2" l="1"/>
  <c r="G61" i="1"/>
  <c r="G32" i="1" l="1"/>
  <c r="G34" i="1"/>
  <c r="D6" i="2"/>
  <c r="D32" i="2" s="1"/>
  <c r="E7" i="1" l="1"/>
  <c r="E6" i="1"/>
  <c r="D8" i="1"/>
  <c r="E12" i="9"/>
  <c r="B33" i="8"/>
  <c r="B32" i="8"/>
  <c r="C28" i="8"/>
  <c r="C20" i="8"/>
  <c r="C33" i="8" s="1"/>
  <c r="C19" i="8"/>
  <c r="C32" i="8" s="1"/>
  <c r="C27" i="2"/>
  <c r="D27" i="2" s="1"/>
  <c r="D11" i="1"/>
  <c r="E8" i="1" l="1"/>
  <c r="E9" i="1" s="1"/>
  <c r="E10" i="1" s="1"/>
  <c r="E11" i="1" s="1"/>
  <c r="E42" i="1" s="1"/>
  <c r="F31" i="1"/>
  <c r="E10" i="9" l="1"/>
  <c r="G31" i="1"/>
  <c r="D20" i="8"/>
  <c r="D33" i="8" s="1"/>
  <c r="D54" i="1"/>
  <c r="D55" i="1" s="1"/>
  <c r="E16" i="1"/>
  <c r="E37" i="1" s="1"/>
  <c r="E13" i="1" l="1"/>
  <c r="E41" i="1"/>
  <c r="C14" i="9" l="1"/>
  <c r="C11" i="9"/>
  <c r="C9" i="9"/>
  <c r="C6" i="9"/>
  <c r="D49" i="1" l="1"/>
  <c r="D48" i="1"/>
  <c r="D47" i="1"/>
  <c r="D45" i="1"/>
  <c r="D41" i="1"/>
  <c r="F42" i="1" l="1"/>
  <c r="G42" i="1" s="1"/>
  <c r="F53" i="1"/>
  <c r="G53" i="1" s="1"/>
  <c r="D31" i="8" l="1"/>
  <c r="C31" i="8"/>
  <c r="C3" i="8"/>
  <c r="B3" i="8"/>
  <c r="C2" i="2"/>
  <c r="F40" i="1"/>
  <c r="G40" i="1" s="1"/>
  <c r="D33" i="1"/>
  <c r="E51" i="9"/>
  <c r="C33" i="9"/>
  <c r="D33" i="9" s="1"/>
  <c r="E33" i="9" s="1"/>
  <c r="B33" i="9"/>
  <c r="C31" i="9"/>
  <c r="C4" i="8"/>
  <c r="E22" i="8" s="1"/>
  <c r="E57" i="1"/>
  <c r="F57" i="1" s="1"/>
  <c r="G57" i="1" s="1"/>
  <c r="D50" i="9"/>
  <c r="D49" i="9"/>
  <c r="C5" i="8" l="1"/>
  <c r="D71" i="9"/>
  <c r="D31" i="9"/>
  <c r="E31" i="9" s="1"/>
  <c r="C39" i="8"/>
  <c r="E27" i="8"/>
  <c r="D48" i="9"/>
  <c r="E54" i="1"/>
  <c r="C29" i="9"/>
  <c r="D51" i="9"/>
  <c r="E48" i="9"/>
  <c r="D16" i="1"/>
  <c r="E55" i="1"/>
  <c r="E56" i="1"/>
  <c r="E20" i="8"/>
  <c r="E19" i="8"/>
  <c r="D29" i="9" l="1"/>
  <c r="E29" i="9" s="1"/>
  <c r="D70" i="9"/>
  <c r="F20" i="8"/>
  <c r="C13" i="8"/>
  <c r="E37" i="9"/>
  <c r="E58" i="9" s="1"/>
  <c r="C7" i="2"/>
  <c r="C51" i="9"/>
  <c r="C72" i="9" s="1"/>
  <c r="C48" i="9"/>
  <c r="C69" i="9" s="1"/>
  <c r="F35" i="1"/>
  <c r="G35" i="1" s="1"/>
  <c r="F33" i="1"/>
  <c r="F54" i="1"/>
  <c r="G54" i="1" s="1"/>
  <c r="F41" i="1"/>
  <c r="D13" i="1"/>
  <c r="F37" i="1"/>
  <c r="G37" i="1" s="1"/>
  <c r="G33" i="1" l="1"/>
  <c r="E38" i="9"/>
  <c r="E59" i="9" s="1"/>
  <c r="C8" i="2"/>
  <c r="E38" i="1"/>
  <c r="E39" i="1" s="1"/>
  <c r="F39" i="1" s="1"/>
  <c r="G39" i="1" s="1"/>
  <c r="G41" i="1"/>
  <c r="D7" i="2"/>
  <c r="C25" i="2"/>
  <c r="D56" i="1"/>
  <c r="E50" i="9" s="1"/>
  <c r="C33" i="2"/>
  <c r="D33" i="2" s="1"/>
  <c r="E33" i="2" s="1"/>
  <c r="F36" i="1"/>
  <c r="G36" i="1" s="1"/>
  <c r="E49" i="9"/>
  <c r="F55" i="1"/>
  <c r="D25" i="2" l="1"/>
  <c r="E7" i="2"/>
  <c r="C34" i="2"/>
  <c r="D34" i="2" s="1"/>
  <c r="E34" i="2" s="1"/>
  <c r="G55" i="1"/>
  <c r="F56" i="1"/>
  <c r="C50" i="9"/>
  <c r="C71" i="9" s="1"/>
  <c r="E39" i="9"/>
  <c r="E60" i="9" s="1"/>
  <c r="C49" i="9"/>
  <c r="C70" i="9" s="1"/>
  <c r="F38" i="1"/>
  <c r="D26" i="8" l="1"/>
  <c r="D22" i="8" s="1"/>
  <c r="E25" i="2"/>
  <c r="G20" i="9" s="1"/>
  <c r="F20" i="9" s="1"/>
  <c r="E20" i="9" s="1"/>
  <c r="C35" i="2"/>
  <c r="D35" i="2" s="1"/>
  <c r="G56" i="1"/>
  <c r="F43" i="1"/>
  <c r="G43" i="1" s="1"/>
  <c r="G38" i="1"/>
  <c r="F58" i="1"/>
  <c r="C47" i="9"/>
  <c r="C68" i="9" s="1"/>
  <c r="D35" i="8" l="1"/>
  <c r="F22" i="8"/>
  <c r="D36" i="2"/>
  <c r="E35" i="2"/>
  <c r="C36" i="2"/>
  <c r="E47" i="1"/>
  <c r="F47" i="1" s="1"/>
  <c r="G47" i="1" s="1"/>
  <c r="G58" i="1"/>
  <c r="F62" i="1"/>
  <c r="G62" i="1" s="1"/>
  <c r="E45" i="1"/>
  <c r="F45" i="1" s="1"/>
  <c r="C10" i="2"/>
  <c r="F44" i="1"/>
  <c r="G44" i="1" s="1"/>
  <c r="E36" i="2" l="1"/>
  <c r="C12" i="2"/>
  <c r="E48" i="1"/>
  <c r="E49" i="1" s="1"/>
  <c r="F49" i="1" s="1"/>
  <c r="G49" i="1" s="1"/>
  <c r="C11" i="2"/>
  <c r="D11" i="2" s="1"/>
  <c r="E11" i="2" s="1"/>
  <c r="G45" i="1"/>
  <c r="F46" i="1"/>
  <c r="G46" i="1" s="1"/>
  <c r="E40" i="9"/>
  <c r="E61" i="9" s="1"/>
  <c r="D10" i="2"/>
  <c r="E10" i="2" s="1"/>
  <c r="F48" i="1" l="1"/>
  <c r="E41" i="9" s="1"/>
  <c r="C14" i="2"/>
  <c r="D14" i="2" s="1"/>
  <c r="E14" i="2" s="1"/>
  <c r="D12" i="2"/>
  <c r="E12" i="2" s="1"/>
  <c r="E62" i="9" l="1"/>
  <c r="E64" i="9" s="1"/>
  <c r="F50" i="1"/>
  <c r="G50" i="1" s="1"/>
  <c r="G48" i="1"/>
  <c r="C13" i="2"/>
  <c r="C15" i="2" s="1"/>
  <c r="E43" i="9"/>
  <c r="F63" i="1" l="1"/>
  <c r="G63" i="1" s="1"/>
  <c r="D13" i="2"/>
  <c r="C9" i="2"/>
  <c r="D8" i="2"/>
  <c r="D9" i="2" l="1"/>
  <c r="E9" i="2" s="1"/>
  <c r="E8" i="2"/>
  <c r="F64" i="1"/>
  <c r="F65" i="1" s="1"/>
  <c r="G65" i="1" s="1"/>
  <c r="D15" i="2"/>
  <c r="E15" i="2" s="1"/>
  <c r="E13" i="2"/>
  <c r="C16" i="2"/>
  <c r="C28" i="2" s="1"/>
  <c r="D16" i="2" l="1"/>
  <c r="G64" i="1"/>
  <c r="C38" i="2"/>
  <c r="C52" i="9"/>
  <c r="C73" i="9" l="1"/>
  <c r="C74" i="9" s="1"/>
  <c r="E16" i="2"/>
  <c r="E38" i="2" s="1"/>
  <c r="D38" i="2"/>
  <c r="C7" i="8" s="1"/>
  <c r="D28" i="2"/>
  <c r="E28" i="2" s="1"/>
  <c r="C22" i="2"/>
  <c r="C37" i="9" s="1"/>
  <c r="C58" i="9" s="1"/>
  <c r="C38" i="9"/>
  <c r="C59" i="9" s="1"/>
  <c r="C53" i="9"/>
  <c r="C64" i="9" l="1"/>
  <c r="C29" i="2"/>
  <c r="E8" i="9"/>
  <c r="C21" i="2"/>
  <c r="E4" i="9"/>
  <c r="C27" i="9"/>
  <c r="D27" i="9" s="1"/>
  <c r="E27" i="9" s="1"/>
  <c r="E5" i="9" l="1"/>
  <c r="C30" i="9"/>
  <c r="C43" i="9"/>
  <c r="C26" i="9" s="1"/>
  <c r="D69" i="9" l="1"/>
  <c r="D26" i="9"/>
  <c r="E26" i="9" s="1"/>
  <c r="E7" i="9"/>
  <c r="D30" i="9"/>
  <c r="D22" i="2"/>
  <c r="E22" i="2" s="1"/>
  <c r="G21" i="9" l="1"/>
  <c r="E30" i="9"/>
  <c r="D29" i="2"/>
  <c r="E29" i="2" s="1"/>
  <c r="D21" i="2"/>
  <c r="D27" i="8" l="1"/>
  <c r="F21" i="9"/>
  <c r="E21" i="9" s="1"/>
  <c r="E21" i="2"/>
  <c r="D19" i="8" l="1"/>
  <c r="D28" i="8" s="1"/>
  <c r="F22" i="9"/>
  <c r="E22" i="9" l="1"/>
  <c r="G22" i="9"/>
  <c r="D32" i="8"/>
  <c r="I26" i="9"/>
  <c r="F19" i="8"/>
  <c r="D36" i="8" l="1"/>
  <c r="F27" i="8"/>
  <c r="F28" i="8" s="1"/>
  <c r="C9" i="8" l="1"/>
  <c r="D37" i="8"/>
  <c r="D38" i="8"/>
  <c r="C8" i="8"/>
  <c r="C10" i="8" l="1"/>
  <c r="C11" i="8" s="1"/>
  <c r="C12" i="8" s="1"/>
  <c r="C14" i="8" s="1"/>
  <c r="D39" i="8" s="1"/>
  <c r="C15" i="8" s="1"/>
  <c r="C32" i="9" s="1"/>
  <c r="C17" i="9" l="1"/>
  <c r="D32" i="9"/>
  <c r="E32" i="9" s="1"/>
  <c r="D40" i="8"/>
</calcChain>
</file>

<file path=xl/sharedStrings.xml><?xml version="1.0" encoding="utf-8"?>
<sst xmlns="http://schemas.openxmlformats.org/spreadsheetml/2006/main" count="223" uniqueCount="175">
  <si>
    <t>Feasibilty study of Giv'at Shmuel - Office and Commercial Alternative</t>
  </si>
  <si>
    <t>Plot Address:</t>
  </si>
  <si>
    <t>HaEtrog, Givat Shmuel</t>
  </si>
  <si>
    <t>Parcel:</t>
  </si>
  <si>
    <t>Section:</t>
  </si>
  <si>
    <t>Total size both plots:</t>
  </si>
  <si>
    <t>Primary above ground level (AGL) area for construction:</t>
  </si>
  <si>
    <t>AGL service areas for construction:</t>
  </si>
  <si>
    <t>Total AGL area (brut):</t>
  </si>
  <si>
    <t>Relative to Parking:</t>
  </si>
  <si>
    <t>Number of required underground parking lots:</t>
  </si>
  <si>
    <t>Number of required AGL parking lots:</t>
  </si>
  <si>
    <t>Average surface per parking lot:</t>
  </si>
  <si>
    <t>Basement Area:</t>
  </si>
  <si>
    <t>Price per Dunam:</t>
  </si>
  <si>
    <t>Acquisition tax:</t>
  </si>
  <si>
    <t>Unanticipated costs (from total construction price):</t>
  </si>
  <si>
    <t>Commission expenses:</t>
  </si>
  <si>
    <t>Legal fees from sales revenue:</t>
  </si>
  <si>
    <t>Marketing expenses:</t>
  </si>
  <si>
    <t>Financing expenses from overall investment:</t>
  </si>
  <si>
    <t>Expenses Forecast:</t>
  </si>
  <si>
    <t>Cost estimates:</t>
  </si>
  <si>
    <t>Attorney legal fees of total proceeds</t>
  </si>
  <si>
    <t>Area:</t>
  </si>
  <si>
    <t>Ground level commerce:</t>
  </si>
  <si>
    <t>High-Tech and office area:</t>
  </si>
  <si>
    <t>Underground Parking:</t>
  </si>
  <si>
    <t>AGL Stores:</t>
  </si>
  <si>
    <t>Exchange Ratio</t>
  </si>
  <si>
    <t>Date</t>
  </si>
  <si>
    <t>Total Partnership</t>
  </si>
  <si>
    <t>Expense Forcast (after Land)</t>
  </si>
  <si>
    <t>Construction Costs</t>
  </si>
  <si>
    <t>Contigency</t>
  </si>
  <si>
    <t>Financing Expense</t>
  </si>
  <si>
    <t>Marketing Expense</t>
  </si>
  <si>
    <t>Legal Expense</t>
  </si>
  <si>
    <t>Total Expenses + Land</t>
  </si>
  <si>
    <t>Total Equity Required</t>
  </si>
  <si>
    <t>Revenue</t>
  </si>
  <si>
    <t>Pmt</t>
  </si>
  <si>
    <t>Maturity</t>
  </si>
  <si>
    <t>Rate</t>
  </si>
  <si>
    <t>Years to Maturity</t>
  </si>
  <si>
    <t>NA</t>
  </si>
  <si>
    <t>Total Interest</t>
  </si>
  <si>
    <t>Total</t>
  </si>
  <si>
    <t>Profit</t>
  </si>
  <si>
    <r>
      <t>Development impact tax per 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>:</t>
    </r>
  </si>
  <si>
    <r>
      <t>Net plot #57 surface (M</t>
    </r>
    <r>
      <rPr>
        <vertAlign val="superscript"/>
        <sz val="10"/>
        <color indexed="8"/>
        <rFont val="Calibri Light"/>
        <family val="2"/>
        <scheme val="major"/>
      </rPr>
      <t>2</t>
    </r>
    <r>
      <rPr>
        <sz val="10"/>
        <color indexed="8"/>
        <rFont val="Calibri Light"/>
        <family val="2"/>
        <scheme val="major"/>
      </rPr>
      <t>)</t>
    </r>
    <r>
      <rPr>
        <sz val="10"/>
        <rFont val="Calibri Light"/>
        <family val="2"/>
        <scheme val="major"/>
      </rPr>
      <t>:</t>
    </r>
  </si>
  <si>
    <r>
      <t>Net plot #58 surface (M</t>
    </r>
    <r>
      <rPr>
        <vertAlign val="superscript"/>
        <sz val="10"/>
        <color indexed="8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>):</t>
    </r>
  </si>
  <si>
    <r>
      <t>Direct construction costs per M</t>
    </r>
    <r>
      <rPr>
        <vertAlign val="superscript"/>
        <sz val="10"/>
        <color indexed="8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>:</t>
    </r>
  </si>
  <si>
    <t>Total Expenses</t>
  </si>
  <si>
    <t>Financing expenses</t>
  </si>
  <si>
    <t>Total expenses prior to financing marketing and legal fees</t>
  </si>
  <si>
    <t>Unanticipated costs (3% of construction costs)</t>
  </si>
  <si>
    <t>Land</t>
  </si>
  <si>
    <t>Acquisition Tax</t>
  </si>
  <si>
    <t>Commission expenses</t>
  </si>
  <si>
    <t>Total Land Costs</t>
  </si>
  <si>
    <t>Construction tax and development levies</t>
  </si>
  <si>
    <t>Planing and advisors</t>
  </si>
  <si>
    <t>Oversight and management</t>
  </si>
  <si>
    <t>Electricity connection</t>
  </si>
  <si>
    <t>Parking basement costs</t>
  </si>
  <si>
    <t>Commerce, Office and envelopment construction costs</t>
  </si>
  <si>
    <t>Total construction costs</t>
  </si>
  <si>
    <t>Total direct costs</t>
  </si>
  <si>
    <t>Marketing expenses of total proceeds</t>
  </si>
  <si>
    <t>Base</t>
  </si>
  <si>
    <t>Equity</t>
  </si>
  <si>
    <t>Revenues</t>
  </si>
  <si>
    <t>Total Revenue</t>
  </si>
  <si>
    <t>Deal Economics</t>
  </si>
  <si>
    <t>Total Profits</t>
  </si>
  <si>
    <t>Investment yield</t>
  </si>
  <si>
    <t>Initial Land Acq. Payments</t>
  </si>
  <si>
    <t>Expenses</t>
  </si>
  <si>
    <t>XIRR</t>
  </si>
  <si>
    <t>Principal</t>
  </si>
  <si>
    <t>Term</t>
  </si>
  <si>
    <t>Sources</t>
  </si>
  <si>
    <t>Uses</t>
  </si>
  <si>
    <t>Land Acquisition</t>
  </si>
  <si>
    <t>Land Acquisition Costs</t>
  </si>
  <si>
    <t>Total Land Acquisition</t>
  </si>
  <si>
    <t>Total Construction Costs (incl. 3% contingency)</t>
  </si>
  <si>
    <t>Financing &amp; Legal Costs</t>
  </si>
  <si>
    <t>Total Costs</t>
  </si>
  <si>
    <t>Total Equity</t>
  </si>
  <si>
    <t>Total Sources</t>
  </si>
  <si>
    <t>Ground Level Commerce</t>
  </si>
  <si>
    <t>High-Tech &amp; Office</t>
  </si>
  <si>
    <t>Retail</t>
  </si>
  <si>
    <t>Underground Parking</t>
  </si>
  <si>
    <t>Price/m2</t>
  </si>
  <si>
    <t>Area</t>
  </si>
  <si>
    <t>GS Partners</t>
  </si>
  <si>
    <t>LTC</t>
  </si>
  <si>
    <t>Total Debt</t>
  </si>
  <si>
    <t>Investment Overview</t>
  </si>
  <si>
    <t>Dashboard</t>
  </si>
  <si>
    <t>Cumulative IRR</t>
  </si>
  <si>
    <t>LTV</t>
  </si>
  <si>
    <t>Preferred Rate</t>
  </si>
  <si>
    <t>Exit Valuation</t>
  </si>
  <si>
    <t>FOREX (ILS/USD)</t>
  </si>
  <si>
    <t>Ground level commerce (ILS/m2)</t>
  </si>
  <si>
    <t>High-Tech &amp; Office (ILS/m2)</t>
  </si>
  <si>
    <t>Underground Parking (ILS/m2)</t>
  </si>
  <si>
    <t>AGL Stores (ILS/m2)</t>
  </si>
  <si>
    <t>(ILS)</t>
  </si>
  <si>
    <t>ILS/m2</t>
  </si>
  <si>
    <t>ILS</t>
  </si>
  <si>
    <t>area increase</t>
  </si>
  <si>
    <t>Initial IRR</t>
  </si>
  <si>
    <r>
      <t>Basement costs per M</t>
    </r>
    <r>
      <rPr>
        <vertAlign val="superscript"/>
        <sz val="10"/>
        <color indexed="8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>:</t>
    </r>
  </si>
  <si>
    <t>Equity/Debt Split</t>
  </si>
  <si>
    <t>Economics Overview</t>
  </si>
  <si>
    <t>Total Land Acq. Payments (incl. exp)</t>
  </si>
  <si>
    <t>Sources &amp; Uses (100%)</t>
  </si>
  <si>
    <t>Land Payments</t>
  </si>
  <si>
    <t>Associated Exp</t>
  </si>
  <si>
    <t>revenue multplier</t>
  </si>
  <si>
    <t>Equity Principal</t>
  </si>
  <si>
    <t>Profit Share (%)</t>
  </si>
  <si>
    <t>Funding Share (%)</t>
  </si>
  <si>
    <t>Funding Share ($)</t>
  </si>
  <si>
    <t>Total Equity (project, 100%)</t>
  </si>
  <si>
    <t>Total Profit (project, 100%)</t>
  </si>
  <si>
    <t>IRR Calc (GSP)</t>
  </si>
  <si>
    <t>Return Profile</t>
  </si>
  <si>
    <t>Preferred Rate (if applicable)</t>
  </si>
  <si>
    <t>Return on Sale</t>
  </si>
  <si>
    <t>Total Funds Available for Distribution (100%)</t>
  </si>
  <si>
    <t>Payment Schedule</t>
  </si>
  <si>
    <t>Equity Payment Schedule (GSP)</t>
  </si>
  <si>
    <t>Total Project Profit</t>
  </si>
  <si>
    <t>Funds Available to GSP Investors (70%)</t>
  </si>
  <si>
    <t>Improvement Levy</t>
  </si>
  <si>
    <t>as % of total AGL</t>
  </si>
  <si>
    <t>Financials Overview (100%, project)</t>
  </si>
  <si>
    <t>Base Case</t>
  </si>
  <si>
    <t>Residual Funds</t>
  </si>
  <si>
    <t>Debt, Land Loan</t>
  </si>
  <si>
    <t>Debt, Development Loan</t>
  </si>
  <si>
    <t>LTC (land)</t>
  </si>
  <si>
    <t>Land Loan</t>
  </si>
  <si>
    <t>Land Loan % of Land Value</t>
  </si>
  <si>
    <t>Land Loan Funding Date</t>
  </si>
  <si>
    <t>Sellers Legal Expenses</t>
  </si>
  <si>
    <t>Debt Funding (LTC)</t>
  </si>
  <si>
    <t>LTC (land + development)</t>
  </si>
  <si>
    <t>Overall Plot Size Increase %</t>
  </si>
  <si>
    <t>Delta</t>
  </si>
  <si>
    <t>Funds Available for distribution, post Equity</t>
  </si>
  <si>
    <t>Funds Available for distribution, post Equity (50%)</t>
  </si>
  <si>
    <t>Exit Preferred Interest</t>
  </si>
  <si>
    <t>Exit Preferred Return Principal</t>
  </si>
  <si>
    <t>Exit Funds Available to Investors (70%)</t>
  </si>
  <si>
    <t>Preferred Return, principal</t>
  </si>
  <si>
    <t>Preferred Return, interest</t>
  </si>
  <si>
    <t>GSP Equity (79.75%)</t>
  </si>
  <si>
    <t>Balance</t>
  </si>
  <si>
    <t>Fees</t>
  </si>
  <si>
    <t xml:space="preserve">Seller Expense 1 </t>
  </si>
  <si>
    <t xml:space="preserve">Seller Expense 2 </t>
  </si>
  <si>
    <t>Land Payment 1</t>
  </si>
  <si>
    <t>Land Payment 2</t>
  </si>
  <si>
    <t>Land Payment 4</t>
  </si>
  <si>
    <t>Land Payment 3 (4th Brother)</t>
  </si>
  <si>
    <t>Construction Equity Payment</t>
  </si>
  <si>
    <t>Net Payment</t>
  </si>
  <si>
    <t>Sources &amp; Uses (79.75%)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</si>
</sst>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[$₪-40D]\ #,##0.00"/>
    <numFmt numFmtId="168" formatCode="[$₪-40D]\ #,##0"/>
    <numFmt numFmtId="169" formatCode="&quot;Balance&quot;\ m/d/yy"/>
    <numFmt numFmtId="170" formatCode="_ [$₪-40D]\ * #,##0_ ;_ [$₪-40D]\ * \-#,##0_ ;_ [$₪-40D]\ * &quot;-&quot;_ ;_ @_ "/>
    <numFmt numFmtId="171" formatCode="_(* #,##0.0_);_(* \(#,##0.0\);_(* &quot;-&quot;??_);_(@_)"/>
    <numFmt numFmtId="172" formatCode="_(* #,##0_);_(* \(#,##0\);_(* &quot;-&quot;??_);_(@_)"/>
    <numFmt numFmtId="173" formatCode="_ [$₪-40D]\ * #,##0_ ;_ [$₪-40D]\ * \-#,##0_ ;_ [$₪-40D]\ * &quot;-&quot;??_ ;_ @_ "/>
  </numFmts>
  <fonts count="20" x14ac:knownFonts="1">
    <font>
      <sz val="10"/>
      <name val="Arial"/>
      <charset val="177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sz val="10"/>
      <color indexed="10"/>
      <name val="Calibri Light"/>
      <family val="2"/>
      <scheme val="major"/>
    </font>
    <font>
      <vertAlign val="superscript"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 Light"/>
      <family val="2"/>
      <scheme val="major"/>
    </font>
    <font>
      <b/>
      <sz val="10"/>
      <name val="Calibri"/>
      <family val="2"/>
      <scheme val="minor"/>
    </font>
    <font>
      <sz val="10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gray0625">
        <fgColor theme="4" tint="0.79998168889431442"/>
        <bgColor indexed="65"/>
      </patternFill>
    </fill>
    <fill>
      <patternFill patternType="gray0625">
        <fgColor theme="5" tint="0.39994506668294322"/>
        <bgColor indexed="65"/>
      </patternFill>
    </fill>
    <fill>
      <patternFill patternType="gray0625">
        <fgColor theme="9" tint="0.59996337778862885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68" fontId="5" fillId="0" borderId="0" xfId="2" applyNumberFormat="1" applyFont="1"/>
    <xf numFmtId="165" fontId="4" fillId="0" borderId="0" xfId="5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9" fontId="4" fillId="0" borderId="0" xfId="0" applyNumberFormat="1" applyFont="1" applyBorder="1" applyAlignment="1">
      <alignment horizontal="right" vertical="center"/>
    </xf>
    <xf numFmtId="10" fontId="4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9" fontId="12" fillId="0" borderId="0" xfId="0" applyNumberFormat="1" applyFont="1" applyBorder="1" applyAlignment="1">
      <alignment horizontal="right" vertical="center"/>
    </xf>
    <xf numFmtId="10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13" fillId="0" borderId="0" xfId="2" applyFont="1"/>
    <xf numFmtId="9" fontId="13" fillId="0" borderId="0" xfId="1" applyFont="1"/>
    <xf numFmtId="168" fontId="13" fillId="0" borderId="0" xfId="2" applyNumberFormat="1" applyFont="1"/>
    <xf numFmtId="167" fontId="13" fillId="0" borderId="0" xfId="2" applyNumberFormat="1" applyFont="1"/>
    <xf numFmtId="14" fontId="13" fillId="0" borderId="0" xfId="2" applyNumberFormat="1" applyFont="1"/>
    <xf numFmtId="0" fontId="14" fillId="0" borderId="0" xfId="2" applyFont="1"/>
    <xf numFmtId="0" fontId="13" fillId="0" borderId="0" xfId="2" applyFont="1" applyAlignment="1">
      <alignment horizontal="right"/>
    </xf>
    <xf numFmtId="9" fontId="13" fillId="0" borderId="0" xfId="1" applyFont="1" applyAlignment="1">
      <alignment horizontal="right"/>
    </xf>
    <xf numFmtId="168" fontId="13" fillId="0" borderId="0" xfId="2" applyNumberFormat="1" applyFont="1" applyAlignment="1">
      <alignment horizontal="right"/>
    </xf>
    <xf numFmtId="167" fontId="13" fillId="0" borderId="0" xfId="2" applyNumberFormat="1" applyFont="1" applyAlignment="1">
      <alignment horizontal="right"/>
    </xf>
    <xf numFmtId="9" fontId="15" fillId="0" borderId="0" xfId="3" applyFont="1"/>
    <xf numFmtId="168" fontId="13" fillId="0" borderId="2" xfId="2" applyNumberFormat="1" applyFont="1" applyBorder="1" applyAlignment="1">
      <alignment horizontal="right"/>
    </xf>
    <xf numFmtId="0" fontId="13" fillId="0" borderId="0" xfId="2" applyFont="1" applyAlignment="1">
      <alignment horizontal="left" indent="1"/>
    </xf>
    <xf numFmtId="0" fontId="13" fillId="0" borderId="2" xfId="2" applyFont="1" applyBorder="1"/>
    <xf numFmtId="169" fontId="13" fillId="0" borderId="0" xfId="2" applyNumberFormat="1" applyFont="1" applyAlignment="1">
      <alignment horizontal="left" indent="1"/>
    </xf>
    <xf numFmtId="0" fontId="7" fillId="0" borderId="0" xfId="0" applyFont="1"/>
    <xf numFmtId="0" fontId="4" fillId="0" borderId="0" xfId="0" applyFont="1" applyBorder="1" applyAlignment="1"/>
    <xf numFmtId="170" fontId="4" fillId="0" borderId="0" xfId="0" applyNumberFormat="1" applyFont="1" applyAlignment="1">
      <alignment horizontal="right"/>
    </xf>
    <xf numFmtId="0" fontId="17" fillId="0" borderId="0" xfId="0" applyFont="1"/>
    <xf numFmtId="0" fontId="15" fillId="0" borderId="0" xfId="0" applyFont="1"/>
    <xf numFmtId="14" fontId="4" fillId="0" borderId="0" xfId="0" applyNumberFormat="1" applyFont="1"/>
    <xf numFmtId="166" fontId="4" fillId="0" borderId="0" xfId="1" applyNumberFormat="1" applyFont="1"/>
    <xf numFmtId="0" fontId="4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right"/>
    </xf>
    <xf numFmtId="14" fontId="13" fillId="0" borderId="0" xfId="2" applyNumberFormat="1" applyFont="1" applyAlignment="1">
      <alignment horizontal="left" indent="1"/>
    </xf>
    <xf numFmtId="0" fontId="18" fillId="0" borderId="0" xfId="0" applyFont="1"/>
    <xf numFmtId="0" fontId="18" fillId="0" borderId="1" xfId="0" applyFont="1" applyBorder="1"/>
    <xf numFmtId="0" fontId="15" fillId="0" borderId="1" xfId="0" applyFont="1" applyBorder="1"/>
    <xf numFmtId="9" fontId="15" fillId="0" borderId="0" xfId="1" applyFont="1" applyAlignment="1">
      <alignment horizontal="right"/>
    </xf>
    <xf numFmtId="168" fontId="15" fillId="0" borderId="0" xfId="2" applyNumberFormat="1" applyFont="1" applyAlignment="1">
      <alignment horizontal="right"/>
    </xf>
    <xf numFmtId="168" fontId="15" fillId="0" borderId="2" xfId="2" applyNumberFormat="1" applyFont="1" applyBorder="1" applyAlignment="1">
      <alignment horizontal="right"/>
    </xf>
    <xf numFmtId="14" fontId="15" fillId="0" borderId="0" xfId="0" applyNumberFormat="1" applyFont="1"/>
    <xf numFmtId="171" fontId="15" fillId="0" borderId="0" xfId="5" applyNumberFormat="1" applyFont="1"/>
    <xf numFmtId="9" fontId="4" fillId="0" borderId="0" xfId="1" applyFont="1" applyFill="1" applyBorder="1" applyAlignment="1">
      <alignment horizontal="right"/>
    </xf>
    <xf numFmtId="14" fontId="4" fillId="0" borderId="0" xfId="1" applyNumberFormat="1" applyFont="1" applyFill="1" applyBorder="1" applyAlignment="1">
      <alignment horizontal="right"/>
    </xf>
    <xf numFmtId="14" fontId="13" fillId="0" borderId="0" xfId="2" applyNumberFormat="1" applyFont="1" applyFill="1"/>
    <xf numFmtId="14" fontId="5" fillId="0" borderId="0" xfId="2" applyNumberFormat="1" applyFont="1" applyAlignment="1">
      <alignment horizontal="right"/>
    </xf>
    <xf numFmtId="168" fontId="5" fillId="0" borderId="0" xfId="2" applyNumberFormat="1" applyFont="1" applyAlignment="1">
      <alignment horizontal="right"/>
    </xf>
    <xf numFmtId="14" fontId="4" fillId="0" borderId="0" xfId="0" applyNumberFormat="1" applyFont="1" applyAlignment="1">
      <alignment horizontal="left" indent="1"/>
    </xf>
    <xf numFmtId="9" fontId="15" fillId="0" borderId="0" xfId="1" applyFont="1"/>
    <xf numFmtId="166" fontId="15" fillId="0" borderId="0" xfId="1" applyNumberFormat="1" applyFont="1"/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8" fillId="2" borderId="2" xfId="0" applyFont="1" applyFill="1" applyBorder="1"/>
    <xf numFmtId="0" fontId="15" fillId="2" borderId="2" xfId="0" applyFont="1" applyFill="1" applyBorder="1" applyAlignment="1">
      <alignment horizontal="left"/>
    </xf>
    <xf numFmtId="0" fontId="15" fillId="3" borderId="3" xfId="0" applyFont="1" applyFill="1" applyBorder="1"/>
    <xf numFmtId="9" fontId="15" fillId="3" borderId="4" xfId="1" applyFont="1" applyFill="1" applyBorder="1"/>
    <xf numFmtId="0" fontId="4" fillId="2" borderId="2" xfId="0" applyFont="1" applyFill="1" applyBorder="1" applyAlignment="1">
      <alignment horizontal="right"/>
    </xf>
    <xf numFmtId="14" fontId="4" fillId="2" borderId="2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right"/>
    </xf>
    <xf numFmtId="168" fontId="4" fillId="2" borderId="2" xfId="0" applyNumberFormat="1" applyFont="1" applyFill="1" applyBorder="1" applyAlignment="1">
      <alignment horizontal="right"/>
    </xf>
    <xf numFmtId="168" fontId="5" fillId="2" borderId="2" xfId="2" applyNumberFormat="1" applyFont="1" applyFill="1" applyBorder="1"/>
    <xf numFmtId="0" fontId="14" fillId="2" borderId="2" xfId="2" applyFont="1" applyFill="1" applyBorder="1"/>
    <xf numFmtId="0" fontId="14" fillId="2" borderId="2" xfId="2" applyFont="1" applyFill="1" applyBorder="1" applyAlignment="1">
      <alignment horizontal="right"/>
    </xf>
    <xf numFmtId="168" fontId="13" fillId="2" borderId="2" xfId="2" applyNumberFormat="1" applyFont="1" applyFill="1" applyBorder="1" applyAlignment="1">
      <alignment horizontal="right"/>
    </xf>
    <xf numFmtId="167" fontId="13" fillId="2" borderId="2" xfId="2" applyNumberFormat="1" applyFont="1" applyFill="1" applyBorder="1" applyAlignment="1">
      <alignment horizontal="right"/>
    </xf>
    <xf numFmtId="0" fontId="13" fillId="2" borderId="2" xfId="2" applyFont="1" applyFill="1" applyBorder="1" applyAlignment="1">
      <alignment horizontal="left"/>
    </xf>
    <xf numFmtId="0" fontId="13" fillId="2" borderId="2" xfId="2" applyFont="1" applyFill="1" applyBorder="1"/>
    <xf numFmtId="168" fontId="5" fillId="2" borderId="2" xfId="2" applyNumberFormat="1" applyFont="1" applyFill="1" applyBorder="1" applyAlignment="1">
      <alignment horizontal="right"/>
    </xf>
    <xf numFmtId="9" fontId="15" fillId="0" borderId="0" xfId="1" applyNumberFormat="1" applyFont="1"/>
    <xf numFmtId="14" fontId="13" fillId="3" borderId="4" xfId="2" applyNumberFormat="1" applyFont="1" applyFill="1" applyBorder="1"/>
    <xf numFmtId="0" fontId="13" fillId="0" borderId="0" xfId="2" applyFont="1" applyFill="1" applyBorder="1"/>
    <xf numFmtId="168" fontId="5" fillId="3" borderId="4" xfId="2" applyNumberFormat="1" applyFont="1" applyFill="1" applyBorder="1" applyAlignment="1">
      <alignment horizontal="right"/>
    </xf>
    <xf numFmtId="168" fontId="5" fillId="3" borderId="5" xfId="2" applyNumberFormat="1" applyFont="1" applyFill="1" applyBorder="1" applyAlignment="1">
      <alignment horizontal="right"/>
    </xf>
    <xf numFmtId="166" fontId="4" fillId="0" borderId="0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10" fontId="7" fillId="2" borderId="2" xfId="0" applyNumberFormat="1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right" vertical="center"/>
    </xf>
    <xf numFmtId="10" fontId="7" fillId="2" borderId="2" xfId="0" applyNumberFormat="1" applyFont="1" applyFill="1" applyBorder="1" applyAlignment="1">
      <alignment vertical="center"/>
    </xf>
    <xf numFmtId="9" fontId="7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9" fontId="5" fillId="3" borderId="4" xfId="1" applyFont="1" applyFill="1" applyBorder="1" applyAlignment="1">
      <alignment horizontal="right"/>
    </xf>
    <xf numFmtId="0" fontId="15" fillId="0" borderId="0" xfId="0" applyFont="1" applyAlignment="1">
      <alignment horizontal="left" indent="3"/>
    </xf>
    <xf numFmtId="3" fontId="4" fillId="0" borderId="6" xfId="0" applyNumberFormat="1" applyFont="1" applyFill="1" applyBorder="1" applyAlignment="1">
      <alignment vertical="center"/>
    </xf>
    <xf numFmtId="167" fontId="15" fillId="0" borderId="0" xfId="0" applyNumberFormat="1" applyFont="1"/>
    <xf numFmtId="168" fontId="15" fillId="0" borderId="0" xfId="0" applyNumberFormat="1" applyFont="1"/>
    <xf numFmtId="167" fontId="13" fillId="0" borderId="0" xfId="2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left" indent="1"/>
    </xf>
    <xf numFmtId="168" fontId="13" fillId="0" borderId="0" xfId="2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left"/>
    </xf>
    <xf numFmtId="9" fontId="13" fillId="3" borderId="4" xfId="2" applyNumberFormat="1" applyFont="1" applyFill="1" applyBorder="1"/>
    <xf numFmtId="166" fontId="15" fillId="3" borderId="4" xfId="1" applyNumberFormat="1" applyFont="1" applyFill="1" applyBorder="1"/>
    <xf numFmtId="166" fontId="15" fillId="0" borderId="0" xfId="1" applyNumberFormat="1" applyFont="1" applyFill="1" applyBorder="1" applyAlignment="1">
      <alignment horizontal="right"/>
    </xf>
    <xf numFmtId="168" fontId="13" fillId="0" borderId="4" xfId="2" applyNumberFormat="1" applyFont="1" applyBorder="1"/>
    <xf numFmtId="0" fontId="15" fillId="4" borderId="0" xfId="0" applyFont="1" applyFill="1" applyAlignment="1">
      <alignment horizontal="left"/>
    </xf>
    <xf numFmtId="168" fontId="5" fillId="4" borderId="0" xfId="2" applyNumberFormat="1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15" fillId="4" borderId="0" xfId="0" applyFont="1" applyFill="1" applyAlignment="1">
      <alignment horizontal="left" indent="1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/>
    <xf numFmtId="0" fontId="13" fillId="0" borderId="0" xfId="2" applyFont="1" applyAlignment="1">
      <alignment horizontal="left" indent="2"/>
    </xf>
    <xf numFmtId="0" fontId="13" fillId="0" borderId="0" xfId="2" applyFont="1" applyAlignment="1">
      <alignment horizontal="left" indent="4"/>
    </xf>
    <xf numFmtId="0" fontId="15" fillId="0" borderId="0" xfId="0" applyFont="1" applyAlignment="1">
      <alignment horizontal="left" indent="4"/>
    </xf>
    <xf numFmtId="9" fontId="13" fillId="2" borderId="2" xfId="1" applyFont="1" applyFill="1" applyBorder="1" applyAlignment="1">
      <alignment horizontal="right"/>
    </xf>
    <xf numFmtId="168" fontId="13" fillId="3" borderId="4" xfId="2" applyNumberFormat="1" applyFont="1" applyFill="1" applyBorder="1"/>
    <xf numFmtId="168" fontId="15" fillId="0" borderId="4" xfId="0" applyNumberFormat="1" applyFont="1" applyBorder="1"/>
    <xf numFmtId="0" fontId="7" fillId="2" borderId="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4" fontId="13" fillId="3" borderId="3" xfId="1" applyNumberFormat="1" applyFont="1" applyFill="1" applyBorder="1" applyAlignment="1">
      <alignment horizontal="right"/>
    </xf>
    <xf numFmtId="14" fontId="5" fillId="0" borderId="0" xfId="2" applyNumberFormat="1" applyFont="1" applyAlignment="1">
      <alignment horizontal="left" indent="1"/>
    </xf>
    <xf numFmtId="14" fontId="13" fillId="0" borderId="0" xfId="2" applyNumberFormat="1" applyFont="1" applyAlignment="1">
      <alignment horizontal="left" indent="2"/>
    </xf>
    <xf numFmtId="14" fontId="15" fillId="0" borderId="0" xfId="0" applyNumberFormat="1" applyFont="1" applyAlignment="1">
      <alignment horizontal="left" indent="2"/>
    </xf>
    <xf numFmtId="9" fontId="13" fillId="3" borderId="3" xfId="2" applyNumberFormat="1" applyFont="1" applyFill="1" applyBorder="1" applyAlignment="1">
      <alignment horizontal="right"/>
    </xf>
    <xf numFmtId="168" fontId="13" fillId="3" borderId="4" xfId="2" applyNumberFormat="1" applyFont="1" applyFill="1" applyBorder="1" applyAlignment="1">
      <alignment horizontal="right"/>
    </xf>
    <xf numFmtId="168" fontId="13" fillId="3" borderId="5" xfId="2" applyNumberFormat="1" applyFont="1" applyFill="1" applyBorder="1" applyAlignment="1">
      <alignment horizontal="right"/>
    </xf>
    <xf numFmtId="0" fontId="19" fillId="0" borderId="0" xfId="0" applyFont="1" applyBorder="1" applyAlignment="1">
      <alignment vertical="center" wrapText="1"/>
    </xf>
    <xf numFmtId="9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13" fillId="0" borderId="0" xfId="2" applyFont="1" applyAlignment="1">
      <alignment horizontal="left"/>
    </xf>
    <xf numFmtId="9" fontId="13" fillId="3" borderId="5" xfId="1" applyFont="1" applyFill="1" applyBorder="1"/>
    <xf numFmtId="9" fontId="15" fillId="2" borderId="2" xfId="0" applyNumberFormat="1" applyFont="1" applyFill="1" applyBorder="1"/>
    <xf numFmtId="0" fontId="7" fillId="0" borderId="1" xfId="0" applyFont="1" applyBorder="1" applyAlignment="1">
      <alignment horizontal="right" vertical="center"/>
    </xf>
    <xf numFmtId="168" fontId="15" fillId="3" borderId="4" xfId="0" applyNumberFormat="1" applyFont="1" applyFill="1" applyBorder="1"/>
    <xf numFmtId="10" fontId="15" fillId="0" borderId="0" xfId="3" applyNumberFormat="1" applyFont="1" applyAlignment="1">
      <alignment horizontal="right"/>
    </xf>
    <xf numFmtId="10" fontId="13" fillId="3" borderId="4" xfId="2" applyNumberFormat="1" applyFont="1" applyFill="1" applyBorder="1"/>
    <xf numFmtId="10" fontId="13" fillId="0" borderId="0" xfId="1" applyNumberFormat="1" applyFont="1" applyAlignment="1">
      <alignment horizontal="right"/>
    </xf>
    <xf numFmtId="170" fontId="4" fillId="0" borderId="0" xfId="0" applyNumberFormat="1" applyFont="1"/>
    <xf numFmtId="172" fontId="4" fillId="0" borderId="0" xfId="5" applyNumberFormat="1" applyFont="1"/>
    <xf numFmtId="167" fontId="4" fillId="0" borderId="0" xfId="0" applyNumberFormat="1" applyFont="1"/>
    <xf numFmtId="172" fontId="4" fillId="0" borderId="0" xfId="0" applyNumberFormat="1" applyFont="1"/>
    <xf numFmtId="165" fontId="4" fillId="0" borderId="0" xfId="0" applyNumberFormat="1" applyFont="1"/>
    <xf numFmtId="168" fontId="13" fillId="3" borderId="9" xfId="2" applyNumberFormat="1" applyFont="1" applyFill="1" applyBorder="1"/>
    <xf numFmtId="166" fontId="13" fillId="3" borderId="5" xfId="1" applyNumberFormat="1" applyFont="1" applyFill="1" applyBorder="1"/>
    <xf numFmtId="9" fontId="15" fillId="3" borderId="3" xfId="1" applyFont="1" applyFill="1" applyBorder="1"/>
    <xf numFmtId="10" fontId="15" fillId="3" borderId="3" xfId="2" applyNumberFormat="1" applyFont="1" applyFill="1" applyBorder="1" applyAlignment="1">
      <alignment horizontal="right"/>
    </xf>
    <xf numFmtId="168" fontId="15" fillId="3" borderId="4" xfId="2" applyNumberFormat="1" applyFont="1" applyFill="1" applyBorder="1"/>
    <xf numFmtId="168" fontId="15" fillId="3" borderId="4" xfId="2" applyNumberFormat="1" applyFont="1" applyFill="1" applyBorder="1" applyAlignment="1">
      <alignment horizontal="right"/>
    </xf>
    <xf numFmtId="168" fontId="15" fillId="3" borderId="5" xfId="2" applyNumberFormat="1" applyFont="1" applyFill="1" applyBorder="1"/>
    <xf numFmtId="168" fontId="15" fillId="3" borderId="5" xfId="2" applyNumberFormat="1" applyFont="1" applyFill="1" applyBorder="1" applyAlignment="1">
      <alignment horizontal="right"/>
    </xf>
    <xf numFmtId="168" fontId="15" fillId="3" borderId="8" xfId="2" applyNumberFormat="1" applyFont="1" applyFill="1" applyBorder="1"/>
    <xf numFmtId="168" fontId="15" fillId="3" borderId="7" xfId="2" applyNumberFormat="1" applyFont="1" applyFill="1" applyBorder="1"/>
    <xf numFmtId="10" fontId="13" fillId="2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left" indent="2"/>
    </xf>
    <xf numFmtId="166" fontId="13" fillId="3" borderId="7" xfId="2" applyNumberFormat="1" applyFont="1" applyFill="1" applyBorder="1"/>
    <xf numFmtId="172" fontId="13" fillId="0" borderId="0" xfId="5" applyNumberFormat="1" applyFont="1"/>
    <xf numFmtId="172" fontId="13" fillId="0" borderId="0" xfId="2" applyNumberFormat="1" applyFont="1"/>
    <xf numFmtId="172" fontId="15" fillId="0" borderId="0" xfId="0" applyNumberFormat="1" applyFont="1"/>
    <xf numFmtId="14" fontId="5" fillId="0" borderId="0" xfId="2" applyNumberFormat="1" applyFont="1" applyAlignment="1">
      <alignment horizontal="left" indent="2"/>
    </xf>
    <xf numFmtId="165" fontId="4" fillId="0" borderId="0" xfId="0" applyNumberFormat="1" applyFont="1" applyAlignment="1">
      <alignment horizontal="right"/>
    </xf>
    <xf numFmtId="10" fontId="4" fillId="0" borderId="0" xfId="1" applyNumberFormat="1" applyFont="1" applyAlignment="1">
      <alignment horizontal="right"/>
    </xf>
    <xf numFmtId="173" fontId="4" fillId="0" borderId="0" xfId="0" applyNumberFormat="1" applyFont="1" applyAlignment="1">
      <alignment horizontal="right"/>
    </xf>
    <xf numFmtId="10" fontId="15" fillId="2" borderId="2" xfId="0" applyNumberFormat="1" applyFont="1" applyFill="1" applyBorder="1"/>
    <xf numFmtId="0" fontId="15" fillId="5" borderId="0" xfId="0" applyFont="1" applyFill="1"/>
    <xf numFmtId="168" fontId="5" fillId="5" borderId="0" xfId="2" applyNumberFormat="1" applyFont="1" applyFill="1" applyAlignment="1">
      <alignment horizontal="right"/>
    </xf>
    <xf numFmtId="0" fontId="15" fillId="5" borderId="0" xfId="0" applyFont="1" applyFill="1" applyAlignment="1">
      <alignment horizontal="left" indent="1"/>
    </xf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right"/>
    </xf>
    <xf numFmtId="3" fontId="15" fillId="5" borderId="0" xfId="0" applyNumberFormat="1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168" fontId="5" fillId="2" borderId="0" xfId="2" applyNumberFormat="1" applyFont="1" applyFill="1" applyBorder="1" applyAlignment="1">
      <alignment horizontal="right"/>
    </xf>
    <xf numFmtId="0" fontId="16" fillId="0" borderId="0" xfId="2" applyFont="1" applyAlignment="1">
      <alignment horizontal="center"/>
    </xf>
  </cellXfs>
  <cellStyles count="6">
    <cellStyle name="Comma" xfId="5" builtinId="3"/>
    <cellStyle name="Currency 2" xfId="4" xr:uid="{00000000-0005-0000-0000-000001000000}"/>
    <cellStyle name="Normal" xfId="0" builtinId="0"/>
    <cellStyle name="Normal 2" xfId="2" xr:uid="{00000000-0005-0000-0000-000003000000}"/>
    <cellStyle name="Percent" xfId="1" builtinId="5"/>
    <cellStyle name="Percent 2" xfId="3" xr:uid="{00000000-0005-0000-0000-000005000000}"/>
  </cellStyles>
  <dxfs count="1">
    <dxf>
      <fill>
        <patternFill patternType="gray0625">
          <fgColor rgb="FFFF0000"/>
        </patternFill>
      </fill>
      <border>
        <top style="dotted">
          <color rgb="FFFF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74"/>
  <sheetViews>
    <sheetView tabSelected="1" topLeftCell="A30" workbookViewId="0">
      <selection activeCell="C5" sqref="C5"/>
    </sheetView>
    <sheetView tabSelected="1" workbookViewId="1">
      <selection activeCell="C5" sqref="C5"/>
    </sheetView>
  </sheetViews>
  <sheetFormatPr defaultColWidth="9.140625" defaultRowHeight="12.75" x14ac:dyDescent="0.2"/>
  <cols>
    <col min="1" max="1" width="3.140625" style="58" customWidth="1"/>
    <col min="2" max="2" width="37.140625" style="58" customWidth="1"/>
    <col min="3" max="3" width="17.28515625" style="58" customWidth="1"/>
    <col min="4" max="4" width="38.85546875" style="58" customWidth="1"/>
    <col min="5" max="5" width="17.28515625" style="58" customWidth="1"/>
    <col min="6" max="6" width="14.28515625" style="58" bestFit="1" customWidth="1"/>
    <col min="7" max="7" width="14.28515625" style="58" customWidth="1"/>
    <col min="8" max="8" width="13.5703125" style="58" bestFit="1" customWidth="1"/>
    <col min="9" max="9" width="12.28515625" style="58" bestFit="1" customWidth="1"/>
    <col min="10" max="16384" width="9.140625" style="58"/>
  </cols>
  <sheetData>
    <row r="1" spans="2:7" x14ac:dyDescent="0.2">
      <c r="B1" s="66" t="s">
        <v>102</v>
      </c>
    </row>
    <row r="2" spans="2:7" x14ac:dyDescent="0.2">
      <c r="B2" s="63" t="s">
        <v>107</v>
      </c>
      <c r="C2" s="86">
        <v>3.63</v>
      </c>
      <c r="D2" s="63" t="s">
        <v>42</v>
      </c>
      <c r="E2" s="141">
        <v>44934</v>
      </c>
    </row>
    <row r="3" spans="2:7" x14ac:dyDescent="0.2">
      <c r="B3" s="63" t="s">
        <v>105</v>
      </c>
      <c r="C3" s="124">
        <v>7.0000000000000007E-2</v>
      </c>
      <c r="D3" s="51" t="s">
        <v>152</v>
      </c>
      <c r="E3" s="166">
        <v>0.85</v>
      </c>
    </row>
    <row r="4" spans="2:7" x14ac:dyDescent="0.2">
      <c r="B4" s="63" t="s">
        <v>154</v>
      </c>
      <c r="C4" s="87">
        <v>0.5</v>
      </c>
      <c r="D4" s="63" t="s">
        <v>129</v>
      </c>
      <c r="E4" s="156">
        <f>C37</f>
        <v>40505233.938267857</v>
      </c>
    </row>
    <row r="5" spans="2:7" x14ac:dyDescent="0.2">
      <c r="B5" s="63" t="s">
        <v>106</v>
      </c>
      <c r="C5" s="101"/>
      <c r="D5" s="63" t="s">
        <v>163</v>
      </c>
      <c r="E5" s="138">
        <f>E4*0.7975</f>
        <v>32302924.065768614</v>
      </c>
    </row>
    <row r="6" spans="2:7" s="39" customFormat="1" x14ac:dyDescent="0.2">
      <c r="B6" s="115" t="s">
        <v>108</v>
      </c>
      <c r="C6" s="103">
        <f>(1+C$8)*18000</f>
        <v>18000</v>
      </c>
      <c r="D6" s="51" t="s">
        <v>127</v>
      </c>
      <c r="E6" s="158">
        <v>0.85</v>
      </c>
      <c r="F6" s="58"/>
      <c r="G6" s="58"/>
    </row>
    <row r="7" spans="2:7" s="39" customFormat="1" x14ac:dyDescent="0.2">
      <c r="B7" s="134" t="s">
        <v>141</v>
      </c>
      <c r="C7" s="114">
        <v>0.35</v>
      </c>
      <c r="D7" s="51" t="s">
        <v>128</v>
      </c>
      <c r="E7" s="137">
        <f>E6*E5</f>
        <v>27457485.455903322</v>
      </c>
      <c r="F7" s="58"/>
      <c r="G7" s="58"/>
    </row>
    <row r="8" spans="2:7" s="39" customFormat="1" x14ac:dyDescent="0.2">
      <c r="B8" s="134" t="s">
        <v>124</v>
      </c>
      <c r="C8" s="114">
        <v>0</v>
      </c>
      <c r="D8" s="51" t="s">
        <v>130</v>
      </c>
      <c r="E8" s="126">
        <f>C53</f>
        <v>94427728.149642885</v>
      </c>
      <c r="F8" s="45"/>
      <c r="G8" s="45"/>
    </row>
    <row r="9" spans="2:7" s="39" customFormat="1" x14ac:dyDescent="0.2">
      <c r="B9" s="115" t="s">
        <v>109</v>
      </c>
      <c r="C9" s="103">
        <f>(1+C$10)*9500</f>
        <v>10450</v>
      </c>
      <c r="D9" s="51" t="s">
        <v>126</v>
      </c>
      <c r="E9" s="123">
        <v>0.5</v>
      </c>
      <c r="F9" s="45"/>
      <c r="G9" s="45"/>
    </row>
    <row r="10" spans="2:7" s="39" customFormat="1" x14ac:dyDescent="0.2">
      <c r="B10" s="134" t="s">
        <v>124</v>
      </c>
      <c r="C10" s="114">
        <v>0.1</v>
      </c>
      <c r="D10" s="51" t="s">
        <v>148</v>
      </c>
      <c r="E10" s="137">
        <f>'Base Case - Office &amp; Commercial'!F31*E12</f>
        <v>24282000</v>
      </c>
    </row>
    <row r="11" spans="2:7" s="39" customFormat="1" x14ac:dyDescent="0.2">
      <c r="B11" s="115" t="s">
        <v>110</v>
      </c>
      <c r="C11" s="103">
        <f>(1+C$12)*90000</f>
        <v>90000</v>
      </c>
      <c r="D11" s="51" t="s">
        <v>150</v>
      </c>
      <c r="E11" s="101">
        <v>43800</v>
      </c>
    </row>
    <row r="12" spans="2:7" s="39" customFormat="1" x14ac:dyDescent="0.2">
      <c r="B12" s="134" t="s">
        <v>124</v>
      </c>
      <c r="C12" s="114">
        <v>0</v>
      </c>
      <c r="D12" s="133" t="s">
        <v>149</v>
      </c>
      <c r="E12" s="153">
        <f>0.6</f>
        <v>0.6</v>
      </c>
    </row>
    <row r="13" spans="2:7" s="39" customFormat="1" x14ac:dyDescent="0.2">
      <c r="B13" s="135" t="s">
        <v>115</v>
      </c>
      <c r="C13" s="114">
        <v>0</v>
      </c>
      <c r="D13" s="51" t="s">
        <v>136</v>
      </c>
      <c r="E13" s="167">
        <v>1</v>
      </c>
      <c r="F13" s="168">
        <v>0.79749999999999999</v>
      </c>
      <c r="G13" s="145">
        <v>0.85</v>
      </c>
    </row>
    <row r="14" spans="2:7" s="39" customFormat="1" x14ac:dyDescent="0.2">
      <c r="B14" s="115" t="s">
        <v>111</v>
      </c>
      <c r="C14" s="103">
        <f>(1+C$15)*50000</f>
        <v>50000</v>
      </c>
      <c r="D14" s="143">
        <v>43678</v>
      </c>
      <c r="E14" s="169">
        <f t="shared" ref="E14:F21" si="0">F14/F$13</f>
        <v>3078001.1063986723</v>
      </c>
      <c r="F14" s="170">
        <f t="shared" si="0"/>
        <v>2454705.8823529412</v>
      </c>
      <c r="G14" s="146">
        <v>2086500</v>
      </c>
    </row>
    <row r="15" spans="2:7" s="39" customFormat="1" x14ac:dyDescent="0.2">
      <c r="B15" s="134" t="s">
        <v>124</v>
      </c>
      <c r="C15" s="114">
        <v>0</v>
      </c>
      <c r="D15" s="144">
        <v>43733</v>
      </c>
      <c r="E15" s="169">
        <f t="shared" si="0"/>
        <v>12312004.425594689</v>
      </c>
      <c r="F15" s="170">
        <f t="shared" si="0"/>
        <v>9818823.5294117648</v>
      </c>
      <c r="G15" s="146">
        <v>8346000</v>
      </c>
    </row>
    <row r="16" spans="2:7" s="39" customFormat="1" x14ac:dyDescent="0.2">
      <c r="B16" s="135" t="s">
        <v>115</v>
      </c>
      <c r="C16" s="104">
        <v>0</v>
      </c>
      <c r="D16" s="144">
        <v>43733</v>
      </c>
      <c r="E16" s="169">
        <f t="shared" si="0"/>
        <v>903558.91572930117</v>
      </c>
      <c r="F16" s="170">
        <f t="shared" si="0"/>
        <v>720588.23529411771</v>
      </c>
      <c r="G16" s="146">
        <v>612500</v>
      </c>
    </row>
    <row r="17" spans="2:10" s="39" customFormat="1" x14ac:dyDescent="0.2">
      <c r="B17" s="51" t="s">
        <v>79</v>
      </c>
      <c r="C17" s="177">
        <f>C32</f>
        <v>0.21568253636360168</v>
      </c>
      <c r="D17" s="144">
        <v>43820</v>
      </c>
      <c r="E17" s="169">
        <f t="shared" si="0"/>
        <v>14670846.394984325</v>
      </c>
      <c r="F17" s="170">
        <f t="shared" si="0"/>
        <v>11700000</v>
      </c>
      <c r="G17" s="146">
        <v>9945000</v>
      </c>
    </row>
    <row r="18" spans="2:10" s="39" customFormat="1" x14ac:dyDescent="0.2">
      <c r="D18" s="144">
        <v>43820</v>
      </c>
      <c r="E18" s="169">
        <f t="shared" si="0"/>
        <v>10444381.338742394</v>
      </c>
      <c r="F18" s="170">
        <f t="shared" si="0"/>
        <v>8329394.1176470593</v>
      </c>
      <c r="G18" s="146">
        <v>7079985</v>
      </c>
    </row>
    <row r="19" spans="2:10" s="39" customFormat="1" x14ac:dyDescent="0.2">
      <c r="D19" s="144">
        <v>43820</v>
      </c>
      <c r="E19" s="169">
        <f t="shared" si="0"/>
        <v>1678037.9863544162</v>
      </c>
      <c r="F19" s="170">
        <f t="shared" si="0"/>
        <v>1338235.294117647</v>
      </c>
      <c r="G19" s="146">
        <v>1137500</v>
      </c>
    </row>
    <row r="20" spans="2:10" x14ac:dyDescent="0.2">
      <c r="D20" s="144">
        <v>43820</v>
      </c>
      <c r="E20" s="169">
        <f t="shared" si="0"/>
        <v>-24282000</v>
      </c>
      <c r="F20" s="170">
        <f t="shared" si="0"/>
        <v>-19364895</v>
      </c>
      <c r="G20" s="146">
        <f>-'GSP Economics Overview'!E25</f>
        <v>-16460160.75</v>
      </c>
    </row>
    <row r="21" spans="2:10" x14ac:dyDescent="0.2">
      <c r="D21" s="143" t="s">
        <v>164</v>
      </c>
      <c r="E21" s="171">
        <f t="shared" si="0"/>
        <v>21700403.770464055</v>
      </c>
      <c r="F21" s="172">
        <f t="shared" si="0"/>
        <v>17306072.006945085</v>
      </c>
      <c r="G21" s="147">
        <f>E7-G14-G15-G16-G17-G18-G19-G20</f>
        <v>14710161.205903322</v>
      </c>
      <c r="H21" s="39"/>
      <c r="I21" s="178">
        <v>1200000</v>
      </c>
      <c r="J21" s="39"/>
    </row>
    <row r="22" spans="2:10" x14ac:dyDescent="0.2">
      <c r="D22" s="51" t="s">
        <v>47</v>
      </c>
      <c r="E22" s="173">
        <f>SUM(E14:E21)</f>
        <v>40505233.938267857</v>
      </c>
      <c r="F22" s="174">
        <f>SUM(F14:F21)</f>
        <v>32302924.065768611</v>
      </c>
      <c r="G22" s="165">
        <f>SUM(G14:G21)</f>
        <v>27457485.455903322</v>
      </c>
      <c r="H22" s="39"/>
      <c r="I22" s="178">
        <v>10500000</v>
      </c>
      <c r="J22" s="39"/>
    </row>
    <row r="23" spans="2:10" x14ac:dyDescent="0.2">
      <c r="H23" s="41"/>
      <c r="I23" s="179">
        <f>SUM(I21:I22)</f>
        <v>11700000</v>
      </c>
      <c r="J23" s="39"/>
    </row>
    <row r="25" spans="2:10" x14ac:dyDescent="0.2">
      <c r="B25" s="84" t="s">
        <v>101</v>
      </c>
      <c r="C25" s="154">
        <v>1</v>
      </c>
      <c r="D25" s="185">
        <f>F13</f>
        <v>0.79749999999999999</v>
      </c>
      <c r="E25" s="154">
        <f>G13</f>
        <v>0.85</v>
      </c>
      <c r="I25" s="180">
        <f>I23*J25</f>
        <v>9945000</v>
      </c>
      <c r="J25" s="58">
        <v>0.85</v>
      </c>
    </row>
    <row r="26" spans="2:10" x14ac:dyDescent="0.2">
      <c r="B26" s="63" t="s">
        <v>99</v>
      </c>
      <c r="C26" s="80">
        <f>C38/C43</f>
        <v>0.85</v>
      </c>
      <c r="D26" s="80">
        <f>C26</f>
        <v>0.85</v>
      </c>
      <c r="E26" s="80">
        <f>D26</f>
        <v>0.85</v>
      </c>
      <c r="I26" s="41">
        <f>G21-I25</f>
        <v>4765161.2059033215</v>
      </c>
    </row>
    <row r="27" spans="2:10" x14ac:dyDescent="0.2">
      <c r="B27" s="63" t="s">
        <v>104</v>
      </c>
      <c r="C27" s="100">
        <f>C38/C47</f>
        <v>0.62977558112477572</v>
      </c>
      <c r="D27" s="100">
        <f t="shared" ref="D27:E33" si="1">C27</f>
        <v>0.62977558112477572</v>
      </c>
      <c r="E27" s="100">
        <f t="shared" si="1"/>
        <v>0.62977558112477572</v>
      </c>
    </row>
    <row r="28" spans="2:10" x14ac:dyDescent="0.2">
      <c r="B28" s="63" t="s">
        <v>42</v>
      </c>
      <c r="C28" s="72">
        <v>44569</v>
      </c>
      <c r="D28" s="72">
        <f t="shared" si="1"/>
        <v>44569</v>
      </c>
      <c r="E28" s="72">
        <f t="shared" si="1"/>
        <v>44569</v>
      </c>
    </row>
    <row r="29" spans="2:10" x14ac:dyDescent="0.2">
      <c r="B29" s="63" t="s">
        <v>81</v>
      </c>
      <c r="C29" s="73">
        <f ca="1">(C28-TODAY())/365</f>
        <v>2.4054794520547946</v>
      </c>
      <c r="D29" s="73">
        <f t="shared" ca="1" si="1"/>
        <v>2.4054794520547946</v>
      </c>
      <c r="E29" s="73">
        <f t="shared" ca="1" si="1"/>
        <v>2.4054794520547946</v>
      </c>
    </row>
    <row r="30" spans="2:10" x14ac:dyDescent="0.2">
      <c r="B30" s="63" t="s">
        <v>125</v>
      </c>
      <c r="C30" s="78">
        <f>E4</f>
        <v>40505233.938267857</v>
      </c>
      <c r="D30" s="78">
        <f>E5</f>
        <v>32302924.065768614</v>
      </c>
      <c r="E30" s="78">
        <f>E7</f>
        <v>27457485.455903322</v>
      </c>
    </row>
    <row r="31" spans="2:10" x14ac:dyDescent="0.2">
      <c r="B31" s="63" t="s">
        <v>43</v>
      </c>
      <c r="C31" s="81">
        <f>C3</f>
        <v>7.0000000000000007E-2</v>
      </c>
      <c r="D31" s="81">
        <f t="shared" si="1"/>
        <v>7.0000000000000007E-2</v>
      </c>
      <c r="E31" s="81">
        <f t="shared" si="1"/>
        <v>7.0000000000000007E-2</v>
      </c>
      <c r="F31" s="118"/>
      <c r="G31" s="118"/>
    </row>
    <row r="32" spans="2:10" x14ac:dyDescent="0.2">
      <c r="B32" s="63" t="s">
        <v>103</v>
      </c>
      <c r="C32" s="81">
        <f>IRR!C15</f>
        <v>0.21568253636360168</v>
      </c>
      <c r="D32" s="81">
        <f t="shared" si="1"/>
        <v>0.21568253636360168</v>
      </c>
      <c r="E32" s="81">
        <f t="shared" si="1"/>
        <v>0.21568253636360168</v>
      </c>
      <c r="F32" s="118"/>
      <c r="G32" s="118"/>
    </row>
    <row r="33" spans="2:7" x14ac:dyDescent="0.2">
      <c r="B33" s="63" t="str">
        <f>B2</f>
        <v>FOREX (ILS/USD)</v>
      </c>
      <c r="C33" s="58">
        <f>C2</f>
        <v>3.63</v>
      </c>
      <c r="D33" s="58">
        <f t="shared" si="1"/>
        <v>3.63</v>
      </c>
      <c r="E33" s="58">
        <f t="shared" si="1"/>
        <v>3.63</v>
      </c>
      <c r="F33" s="118"/>
      <c r="G33" s="118"/>
    </row>
    <row r="34" spans="2:7" x14ac:dyDescent="0.2">
      <c r="D34" s="118"/>
      <c r="E34" s="118"/>
      <c r="F34" s="118"/>
      <c r="G34" s="118"/>
    </row>
    <row r="35" spans="2:7" x14ac:dyDescent="0.2">
      <c r="B35" s="67" t="s">
        <v>121</v>
      </c>
      <c r="C35" s="68"/>
      <c r="D35" s="68"/>
      <c r="E35" s="68"/>
      <c r="F35" s="118"/>
      <c r="G35" s="118"/>
    </row>
    <row r="36" spans="2:7" x14ac:dyDescent="0.2">
      <c r="B36" s="82" t="s">
        <v>82</v>
      </c>
      <c r="C36" s="83" t="s">
        <v>112</v>
      </c>
      <c r="D36" s="82" t="s">
        <v>83</v>
      </c>
      <c r="E36" s="83" t="s">
        <v>112</v>
      </c>
    </row>
    <row r="37" spans="2:7" x14ac:dyDescent="0.2">
      <c r="B37" s="132" t="s">
        <v>90</v>
      </c>
      <c r="C37" s="128">
        <f>'GSP Economics Overview'!C22</f>
        <v>40505233.938267857</v>
      </c>
      <c r="D37" s="130" t="s">
        <v>84</v>
      </c>
      <c r="E37" s="128">
        <f>'Base Case - Office &amp; Commercial'!F31</f>
        <v>40470000</v>
      </c>
      <c r="F37" s="117"/>
      <c r="G37" s="117"/>
    </row>
    <row r="38" spans="2:7" x14ac:dyDescent="0.2">
      <c r="B38" s="132" t="s">
        <v>100</v>
      </c>
      <c r="C38" s="128">
        <f>'GSP Economics Overview'!C25+'GSP Economics Overview'!C28</f>
        <v>229529658.98351786</v>
      </c>
      <c r="D38" s="130" t="s">
        <v>85</v>
      </c>
      <c r="E38" s="128">
        <f>'Base Case - Office &amp; Commercial'!F33+'Base Case - Office &amp; Commercial'!F35+'Base Case - Office &amp; Commercial'!F34</f>
        <v>2832900</v>
      </c>
    </row>
    <row r="39" spans="2:7" x14ac:dyDescent="0.2">
      <c r="B39" s="132"/>
      <c r="C39" s="132"/>
      <c r="D39" s="127" t="s">
        <v>86</v>
      </c>
      <c r="E39" s="128">
        <f>E38+E37</f>
        <v>43302900</v>
      </c>
    </row>
    <row r="40" spans="2:7" x14ac:dyDescent="0.2">
      <c r="B40" s="132"/>
      <c r="C40" s="132"/>
      <c r="D40" s="127" t="s">
        <v>87</v>
      </c>
      <c r="E40" s="128">
        <f>'Base Case - Office &amp; Commercial'!F43+'Base Case - Office &amp; Commercial'!F45</f>
        <v>192108043.91999999</v>
      </c>
    </row>
    <row r="41" spans="2:7" x14ac:dyDescent="0.2">
      <c r="B41" s="130"/>
      <c r="C41" s="128"/>
      <c r="D41" s="127" t="s">
        <v>88</v>
      </c>
      <c r="E41" s="128">
        <f>'Base Case - Office &amp; Commercial'!F47+'Base Case - Office &amp; Commercial'!F48+'Base Case - Office &amp; Commercial'!F49</f>
        <v>34623949.00178571</v>
      </c>
    </row>
    <row r="42" spans="2:7" x14ac:dyDescent="0.2">
      <c r="B42" s="132"/>
      <c r="C42" s="132"/>
      <c r="D42" s="127"/>
      <c r="E42" s="128"/>
    </row>
    <row r="43" spans="2:7" x14ac:dyDescent="0.2">
      <c r="B43" s="82" t="s">
        <v>91</v>
      </c>
      <c r="C43" s="99">
        <f>C38+C37</f>
        <v>270034892.92178571</v>
      </c>
      <c r="D43" s="82" t="s">
        <v>89</v>
      </c>
      <c r="E43" s="99">
        <f>SUM(E39:E41)</f>
        <v>270034892.92178571</v>
      </c>
    </row>
    <row r="46" spans="2:7" x14ac:dyDescent="0.2">
      <c r="B46" s="84" t="s">
        <v>142</v>
      </c>
      <c r="C46" s="83" t="s">
        <v>112</v>
      </c>
      <c r="D46" s="83" t="s">
        <v>96</v>
      </c>
      <c r="E46" s="83" t="s">
        <v>97</v>
      </c>
    </row>
    <row r="47" spans="2:7" x14ac:dyDescent="0.2">
      <c r="B47" s="127" t="s">
        <v>73</v>
      </c>
      <c r="C47" s="128">
        <f>SUM(C48:C51)</f>
        <v>364462621.0714286</v>
      </c>
      <c r="D47" s="129"/>
      <c r="E47" s="129"/>
    </row>
    <row r="48" spans="2:7" x14ac:dyDescent="0.2">
      <c r="B48" s="130" t="s">
        <v>92</v>
      </c>
      <c r="C48" s="128">
        <f>D48*E48</f>
        <v>76488299.999999985</v>
      </c>
      <c r="D48" s="131">
        <f>C6</f>
        <v>18000</v>
      </c>
      <c r="E48" s="131">
        <f>'Base Case - Office &amp; Commercial'!D54</f>
        <v>4249.3499999999995</v>
      </c>
    </row>
    <row r="49" spans="2:5" x14ac:dyDescent="0.2">
      <c r="B49" s="130" t="s">
        <v>93</v>
      </c>
      <c r="C49" s="128">
        <f t="shared" ref="C49:C51" si="2">D49*E49</f>
        <v>254673292.50000003</v>
      </c>
      <c r="D49" s="131">
        <f>C9</f>
        <v>10450</v>
      </c>
      <c r="E49" s="131">
        <f>'Base Case - Office &amp; Commercial'!D55</f>
        <v>24370.65</v>
      </c>
    </row>
    <row r="50" spans="2:5" x14ac:dyDescent="0.2">
      <c r="B50" s="130" t="s">
        <v>95</v>
      </c>
      <c r="C50" s="128">
        <f t="shared" si="2"/>
        <v>33301028.571428575</v>
      </c>
      <c r="D50" s="131">
        <f>C11</f>
        <v>90000</v>
      </c>
      <c r="E50" s="131">
        <f>'Base Case - Office &amp; Commercial'!D56</f>
        <v>370.01142857142861</v>
      </c>
    </row>
    <row r="51" spans="2:5" x14ac:dyDescent="0.2">
      <c r="B51" s="130" t="s">
        <v>94</v>
      </c>
      <c r="C51" s="128">
        <f t="shared" si="2"/>
        <v>0</v>
      </c>
      <c r="D51" s="131">
        <f>C14</f>
        <v>50000</v>
      </c>
      <c r="E51" s="131">
        <f>'Base Case - Office &amp; Commercial'!D57</f>
        <v>0</v>
      </c>
    </row>
    <row r="52" spans="2:5" x14ac:dyDescent="0.2">
      <c r="B52" s="127" t="s">
        <v>53</v>
      </c>
      <c r="C52" s="128">
        <f>'GSP Economics Overview'!C16</f>
        <v>270034892.92178571</v>
      </c>
      <c r="D52" s="129"/>
      <c r="E52" s="129"/>
    </row>
    <row r="53" spans="2:5" x14ac:dyDescent="0.2">
      <c r="B53" s="85" t="s">
        <v>138</v>
      </c>
      <c r="C53" s="99">
        <f>(C47-C52)</f>
        <v>94427728.149642885</v>
      </c>
      <c r="D53" s="64"/>
      <c r="E53" s="64"/>
    </row>
    <row r="54" spans="2:5" x14ac:dyDescent="0.2">
      <c r="B54" s="192"/>
      <c r="C54" s="193"/>
      <c r="D54" s="64"/>
      <c r="E54" s="64"/>
    </row>
    <row r="56" spans="2:5" x14ac:dyDescent="0.2">
      <c r="B56" s="67" t="s">
        <v>174</v>
      </c>
      <c r="C56" s="68"/>
      <c r="D56" s="68"/>
      <c r="E56" s="68"/>
    </row>
    <row r="57" spans="2:5" x14ac:dyDescent="0.2">
      <c r="B57" s="82" t="s">
        <v>82</v>
      </c>
      <c r="C57" s="83" t="s">
        <v>112</v>
      </c>
      <c r="D57" s="82" t="s">
        <v>83</v>
      </c>
      <c r="E57" s="83" t="s">
        <v>112</v>
      </c>
    </row>
    <row r="58" spans="2:5" x14ac:dyDescent="0.2">
      <c r="B58" s="186" t="s">
        <v>90</v>
      </c>
      <c r="C58" s="187">
        <f>C37*$F$13</f>
        <v>32302924.065768614</v>
      </c>
      <c r="D58" s="188" t="s">
        <v>84</v>
      </c>
      <c r="E58" s="187">
        <f>E37*$F$13</f>
        <v>32274825</v>
      </c>
    </row>
    <row r="59" spans="2:5" x14ac:dyDescent="0.2">
      <c r="B59" s="186" t="s">
        <v>100</v>
      </c>
      <c r="C59" s="187">
        <f>C38*$F$13</f>
        <v>183049903.03935549</v>
      </c>
      <c r="D59" s="188" t="s">
        <v>85</v>
      </c>
      <c r="E59" s="187">
        <f>E38*$F$13</f>
        <v>2259237.75</v>
      </c>
    </row>
    <row r="60" spans="2:5" x14ac:dyDescent="0.2">
      <c r="B60" s="186"/>
      <c r="C60" s="186"/>
      <c r="D60" s="189" t="s">
        <v>86</v>
      </c>
      <c r="E60" s="187">
        <f>E39*$F$13</f>
        <v>34534062.75</v>
      </c>
    </row>
    <row r="61" spans="2:5" x14ac:dyDescent="0.2">
      <c r="B61" s="186"/>
      <c r="C61" s="186"/>
      <c r="D61" s="189" t="s">
        <v>87</v>
      </c>
      <c r="E61" s="187">
        <f>E40*$F$13</f>
        <v>153206165.0262</v>
      </c>
    </row>
    <row r="62" spans="2:5" x14ac:dyDescent="0.2">
      <c r="B62" s="188"/>
      <c r="C62" s="187"/>
      <c r="D62" s="189" t="s">
        <v>88</v>
      </c>
      <c r="E62" s="187">
        <f>E41*$F$13</f>
        <v>27612599.328924105</v>
      </c>
    </row>
    <row r="63" spans="2:5" x14ac:dyDescent="0.2">
      <c r="B63" s="186"/>
      <c r="C63" s="186"/>
      <c r="D63" s="189"/>
      <c r="E63" s="187"/>
    </row>
    <row r="64" spans="2:5" x14ac:dyDescent="0.2">
      <c r="B64" s="82" t="s">
        <v>91</v>
      </c>
      <c r="C64" s="99">
        <f>C59+C58</f>
        <v>215352827.10512412</v>
      </c>
      <c r="D64" s="82" t="s">
        <v>89</v>
      </c>
      <c r="E64" s="99">
        <f>SUM(E60:E62)</f>
        <v>215352827.10512412</v>
      </c>
    </row>
    <row r="67" spans="2:5" x14ac:dyDescent="0.2">
      <c r="B67" s="84" t="s">
        <v>142</v>
      </c>
      <c r="C67" s="83" t="s">
        <v>112</v>
      </c>
      <c r="D67" s="83" t="s">
        <v>96</v>
      </c>
      <c r="E67" s="83" t="s">
        <v>97</v>
      </c>
    </row>
    <row r="68" spans="2:5" x14ac:dyDescent="0.2">
      <c r="B68" s="189" t="s">
        <v>73</v>
      </c>
      <c r="C68" s="187">
        <f t="shared" ref="C68:C73" si="3">C47*$F$13</f>
        <v>290658940.30446428</v>
      </c>
      <c r="D68" s="190"/>
      <c r="E68" s="190"/>
    </row>
    <row r="69" spans="2:5" x14ac:dyDescent="0.2">
      <c r="B69" s="188" t="s">
        <v>92</v>
      </c>
      <c r="C69" s="187">
        <f t="shared" si="3"/>
        <v>60999419.249999985</v>
      </c>
      <c r="D69" s="191">
        <f>C26</f>
        <v>0.85</v>
      </c>
      <c r="E69" s="191">
        <f>'Base Case - Office &amp; Commercial'!D74</f>
        <v>0</v>
      </c>
    </row>
    <row r="70" spans="2:5" x14ac:dyDescent="0.2">
      <c r="B70" s="188" t="s">
        <v>93</v>
      </c>
      <c r="C70" s="187">
        <f t="shared" si="3"/>
        <v>203101950.76875001</v>
      </c>
      <c r="D70" s="191">
        <f ca="1">C29</f>
        <v>2.4054794520547946</v>
      </c>
      <c r="E70" s="191">
        <f>'Base Case - Office &amp; Commercial'!D75</f>
        <v>0</v>
      </c>
    </row>
    <row r="71" spans="2:5" x14ac:dyDescent="0.2">
      <c r="B71" s="188" t="s">
        <v>95</v>
      </c>
      <c r="C71" s="187">
        <f t="shared" si="3"/>
        <v>26557570.285714287</v>
      </c>
      <c r="D71" s="191">
        <f>C31</f>
        <v>7.0000000000000007E-2</v>
      </c>
      <c r="E71" s="191">
        <f>'Base Case - Office &amp; Commercial'!D76</f>
        <v>0</v>
      </c>
    </row>
    <row r="72" spans="2:5" x14ac:dyDescent="0.2">
      <c r="B72" s="188" t="s">
        <v>94</v>
      </c>
      <c r="C72" s="187">
        <f t="shared" si="3"/>
        <v>0</v>
      </c>
      <c r="D72" s="191">
        <f>C34</f>
        <v>0</v>
      </c>
      <c r="E72" s="191">
        <f>'Base Case - Office &amp; Commercial'!D77</f>
        <v>0</v>
      </c>
    </row>
    <row r="73" spans="2:5" x14ac:dyDescent="0.2">
      <c r="B73" s="189" t="s">
        <v>53</v>
      </c>
      <c r="C73" s="187">
        <f t="shared" si="3"/>
        <v>215352827.10512412</v>
      </c>
      <c r="D73" s="190"/>
      <c r="E73" s="190"/>
    </row>
    <row r="74" spans="2:5" x14ac:dyDescent="0.2">
      <c r="B74" s="85" t="s">
        <v>138</v>
      </c>
      <c r="C74" s="99">
        <f>(C68-C73)</f>
        <v>75306113.199340165</v>
      </c>
      <c r="D74" s="64"/>
      <c r="E74" s="64"/>
    </row>
  </sheetData>
  <conditionalFormatting sqref="E2">
    <cfRule type="containsText" dxfId="0" priority="1" operator="containsText" text="ERROR">
      <formula>NOT(ISERROR(SEARCH("ERROR",E2)))</formula>
    </cfRule>
  </conditionalFormatting>
  <pageMargins left="0.25" right="0.25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O152"/>
  <sheetViews>
    <sheetView topLeftCell="B19" workbookViewId="0">
      <selection activeCell="F50" sqref="F50"/>
    </sheetView>
    <sheetView topLeftCell="B25" workbookViewId="1">
      <selection activeCell="E5" sqref="E5"/>
    </sheetView>
  </sheetViews>
  <sheetFormatPr defaultRowHeight="12.75" outlineLevelRow="1" x14ac:dyDescent="0.2"/>
  <cols>
    <col min="1" max="1" width="9.140625" style="11" hidden="1" customWidth="1"/>
    <col min="2" max="2" width="1.28515625" style="11" customWidth="1"/>
    <col min="3" max="3" width="63.85546875" style="11" customWidth="1"/>
    <col min="4" max="4" width="24.140625" style="10" customWidth="1"/>
    <col min="5" max="5" width="19.85546875" style="11" customWidth="1"/>
    <col min="6" max="6" width="14.28515625" style="11" customWidth="1"/>
    <col min="7" max="7" width="12.28515625" style="11" customWidth="1"/>
    <col min="8" max="8" width="11.42578125" style="11" bestFit="1" customWidth="1"/>
    <col min="9" max="9" width="10.5703125" style="11" customWidth="1"/>
    <col min="10" max="10" width="10" style="11" customWidth="1"/>
    <col min="11" max="11" width="10.42578125" style="11" customWidth="1"/>
    <col min="12" max="12" width="10.5703125" style="11" customWidth="1"/>
    <col min="13" max="13" width="11" style="11" customWidth="1"/>
    <col min="14" max="14" width="11.28515625" style="11" customWidth="1"/>
    <col min="15" max="15" width="10.42578125" style="11" customWidth="1"/>
    <col min="16" max="254" width="9.140625" style="11"/>
    <col min="255" max="255" width="0" style="11" hidden="1" customWidth="1"/>
    <col min="256" max="256" width="0.7109375" style="11" customWidth="1"/>
    <col min="257" max="257" width="32.42578125" style="11" customWidth="1"/>
    <col min="258" max="258" width="32.140625" style="11" customWidth="1"/>
    <col min="259" max="259" width="14.5703125" style="11" customWidth="1"/>
    <col min="260" max="261" width="11.5703125" style="11" customWidth="1"/>
    <col min="262" max="262" width="11.85546875" style="11" customWidth="1"/>
    <col min="263" max="263" width="12.28515625" style="11" customWidth="1"/>
    <col min="264" max="264" width="10.28515625" style="11" customWidth="1"/>
    <col min="265" max="265" width="10.5703125" style="11" customWidth="1"/>
    <col min="266" max="266" width="10" style="11" customWidth="1"/>
    <col min="267" max="267" width="10.42578125" style="11" customWidth="1"/>
    <col min="268" max="268" width="10.5703125" style="11" customWidth="1"/>
    <col min="269" max="269" width="11" style="11" customWidth="1"/>
    <col min="270" max="270" width="11.28515625" style="11" customWidth="1"/>
    <col min="271" max="271" width="10.42578125" style="11" customWidth="1"/>
    <col min="272" max="510" width="9.140625" style="11"/>
    <col min="511" max="511" width="0" style="11" hidden="1" customWidth="1"/>
    <col min="512" max="512" width="0.7109375" style="11" customWidth="1"/>
    <col min="513" max="513" width="32.42578125" style="11" customWidth="1"/>
    <col min="514" max="514" width="32.140625" style="11" customWidth="1"/>
    <col min="515" max="515" width="14.5703125" style="11" customWidth="1"/>
    <col min="516" max="517" width="11.5703125" style="11" customWidth="1"/>
    <col min="518" max="518" width="11.85546875" style="11" customWidth="1"/>
    <col min="519" max="519" width="12.28515625" style="11" customWidth="1"/>
    <col min="520" max="520" width="10.28515625" style="11" customWidth="1"/>
    <col min="521" max="521" width="10.5703125" style="11" customWidth="1"/>
    <col min="522" max="522" width="10" style="11" customWidth="1"/>
    <col min="523" max="523" width="10.42578125" style="11" customWidth="1"/>
    <col min="524" max="524" width="10.5703125" style="11" customWidth="1"/>
    <col min="525" max="525" width="11" style="11" customWidth="1"/>
    <col min="526" max="526" width="11.28515625" style="11" customWidth="1"/>
    <col min="527" max="527" width="10.42578125" style="11" customWidth="1"/>
    <col min="528" max="766" width="9.140625" style="11"/>
    <col min="767" max="767" width="0" style="11" hidden="1" customWidth="1"/>
    <col min="768" max="768" width="0.7109375" style="11" customWidth="1"/>
    <col min="769" max="769" width="32.42578125" style="11" customWidth="1"/>
    <col min="770" max="770" width="32.140625" style="11" customWidth="1"/>
    <col min="771" max="771" width="14.5703125" style="11" customWidth="1"/>
    <col min="772" max="773" width="11.5703125" style="11" customWidth="1"/>
    <col min="774" max="774" width="11.85546875" style="11" customWidth="1"/>
    <col min="775" max="775" width="12.28515625" style="11" customWidth="1"/>
    <col min="776" max="776" width="10.28515625" style="11" customWidth="1"/>
    <col min="777" max="777" width="10.5703125" style="11" customWidth="1"/>
    <col min="778" max="778" width="10" style="11" customWidth="1"/>
    <col min="779" max="779" width="10.42578125" style="11" customWidth="1"/>
    <col min="780" max="780" width="10.5703125" style="11" customWidth="1"/>
    <col min="781" max="781" width="11" style="11" customWidth="1"/>
    <col min="782" max="782" width="11.28515625" style="11" customWidth="1"/>
    <col min="783" max="783" width="10.42578125" style="11" customWidth="1"/>
    <col min="784" max="1022" width="9.140625" style="11"/>
    <col min="1023" max="1023" width="0" style="11" hidden="1" customWidth="1"/>
    <col min="1024" max="1024" width="0.7109375" style="11" customWidth="1"/>
    <col min="1025" max="1025" width="32.42578125" style="11" customWidth="1"/>
    <col min="1026" max="1026" width="32.140625" style="11" customWidth="1"/>
    <col min="1027" max="1027" width="14.5703125" style="11" customWidth="1"/>
    <col min="1028" max="1029" width="11.5703125" style="11" customWidth="1"/>
    <col min="1030" max="1030" width="11.85546875" style="11" customWidth="1"/>
    <col min="1031" max="1031" width="12.28515625" style="11" customWidth="1"/>
    <col min="1032" max="1032" width="10.28515625" style="11" customWidth="1"/>
    <col min="1033" max="1033" width="10.5703125" style="11" customWidth="1"/>
    <col min="1034" max="1034" width="10" style="11" customWidth="1"/>
    <col min="1035" max="1035" width="10.42578125" style="11" customWidth="1"/>
    <col min="1036" max="1036" width="10.5703125" style="11" customWidth="1"/>
    <col min="1037" max="1037" width="11" style="11" customWidth="1"/>
    <col min="1038" max="1038" width="11.28515625" style="11" customWidth="1"/>
    <col min="1039" max="1039" width="10.42578125" style="11" customWidth="1"/>
    <col min="1040" max="1278" width="9.140625" style="11"/>
    <col min="1279" max="1279" width="0" style="11" hidden="1" customWidth="1"/>
    <col min="1280" max="1280" width="0.7109375" style="11" customWidth="1"/>
    <col min="1281" max="1281" width="32.42578125" style="11" customWidth="1"/>
    <col min="1282" max="1282" width="32.140625" style="11" customWidth="1"/>
    <col min="1283" max="1283" width="14.5703125" style="11" customWidth="1"/>
    <col min="1284" max="1285" width="11.5703125" style="11" customWidth="1"/>
    <col min="1286" max="1286" width="11.85546875" style="11" customWidth="1"/>
    <col min="1287" max="1287" width="12.28515625" style="11" customWidth="1"/>
    <col min="1288" max="1288" width="10.28515625" style="11" customWidth="1"/>
    <col min="1289" max="1289" width="10.5703125" style="11" customWidth="1"/>
    <col min="1290" max="1290" width="10" style="11" customWidth="1"/>
    <col min="1291" max="1291" width="10.42578125" style="11" customWidth="1"/>
    <col min="1292" max="1292" width="10.5703125" style="11" customWidth="1"/>
    <col min="1293" max="1293" width="11" style="11" customWidth="1"/>
    <col min="1294" max="1294" width="11.28515625" style="11" customWidth="1"/>
    <col min="1295" max="1295" width="10.42578125" style="11" customWidth="1"/>
    <col min="1296" max="1534" width="9.140625" style="11"/>
    <col min="1535" max="1535" width="0" style="11" hidden="1" customWidth="1"/>
    <col min="1536" max="1536" width="0.7109375" style="11" customWidth="1"/>
    <col min="1537" max="1537" width="32.42578125" style="11" customWidth="1"/>
    <col min="1538" max="1538" width="32.140625" style="11" customWidth="1"/>
    <col min="1539" max="1539" width="14.5703125" style="11" customWidth="1"/>
    <col min="1540" max="1541" width="11.5703125" style="11" customWidth="1"/>
    <col min="1542" max="1542" width="11.85546875" style="11" customWidth="1"/>
    <col min="1543" max="1543" width="12.28515625" style="11" customWidth="1"/>
    <col min="1544" max="1544" width="10.28515625" style="11" customWidth="1"/>
    <col min="1545" max="1545" width="10.5703125" style="11" customWidth="1"/>
    <col min="1546" max="1546" width="10" style="11" customWidth="1"/>
    <col min="1547" max="1547" width="10.42578125" style="11" customWidth="1"/>
    <col min="1548" max="1548" width="10.5703125" style="11" customWidth="1"/>
    <col min="1549" max="1549" width="11" style="11" customWidth="1"/>
    <col min="1550" max="1550" width="11.28515625" style="11" customWidth="1"/>
    <col min="1551" max="1551" width="10.42578125" style="11" customWidth="1"/>
    <col min="1552" max="1790" width="9.140625" style="11"/>
    <col min="1791" max="1791" width="0" style="11" hidden="1" customWidth="1"/>
    <col min="1792" max="1792" width="0.7109375" style="11" customWidth="1"/>
    <col min="1793" max="1793" width="32.42578125" style="11" customWidth="1"/>
    <col min="1794" max="1794" width="32.140625" style="11" customWidth="1"/>
    <col min="1795" max="1795" width="14.5703125" style="11" customWidth="1"/>
    <col min="1796" max="1797" width="11.5703125" style="11" customWidth="1"/>
    <col min="1798" max="1798" width="11.85546875" style="11" customWidth="1"/>
    <col min="1799" max="1799" width="12.28515625" style="11" customWidth="1"/>
    <col min="1800" max="1800" width="10.28515625" style="11" customWidth="1"/>
    <col min="1801" max="1801" width="10.5703125" style="11" customWidth="1"/>
    <col min="1802" max="1802" width="10" style="11" customWidth="1"/>
    <col min="1803" max="1803" width="10.42578125" style="11" customWidth="1"/>
    <col min="1804" max="1804" width="10.5703125" style="11" customWidth="1"/>
    <col min="1805" max="1805" width="11" style="11" customWidth="1"/>
    <col min="1806" max="1806" width="11.28515625" style="11" customWidth="1"/>
    <col min="1807" max="1807" width="10.42578125" style="11" customWidth="1"/>
    <col min="1808" max="2046" width="9.140625" style="11"/>
    <col min="2047" max="2047" width="0" style="11" hidden="1" customWidth="1"/>
    <col min="2048" max="2048" width="0.7109375" style="11" customWidth="1"/>
    <col min="2049" max="2049" width="32.42578125" style="11" customWidth="1"/>
    <col min="2050" max="2050" width="32.140625" style="11" customWidth="1"/>
    <col min="2051" max="2051" width="14.5703125" style="11" customWidth="1"/>
    <col min="2052" max="2053" width="11.5703125" style="11" customWidth="1"/>
    <col min="2054" max="2054" width="11.85546875" style="11" customWidth="1"/>
    <col min="2055" max="2055" width="12.28515625" style="11" customWidth="1"/>
    <col min="2056" max="2056" width="10.28515625" style="11" customWidth="1"/>
    <col min="2057" max="2057" width="10.5703125" style="11" customWidth="1"/>
    <col min="2058" max="2058" width="10" style="11" customWidth="1"/>
    <col min="2059" max="2059" width="10.42578125" style="11" customWidth="1"/>
    <col min="2060" max="2060" width="10.5703125" style="11" customWidth="1"/>
    <col min="2061" max="2061" width="11" style="11" customWidth="1"/>
    <col min="2062" max="2062" width="11.28515625" style="11" customWidth="1"/>
    <col min="2063" max="2063" width="10.42578125" style="11" customWidth="1"/>
    <col min="2064" max="2302" width="9.140625" style="11"/>
    <col min="2303" max="2303" width="0" style="11" hidden="1" customWidth="1"/>
    <col min="2304" max="2304" width="0.7109375" style="11" customWidth="1"/>
    <col min="2305" max="2305" width="32.42578125" style="11" customWidth="1"/>
    <col min="2306" max="2306" width="32.140625" style="11" customWidth="1"/>
    <col min="2307" max="2307" width="14.5703125" style="11" customWidth="1"/>
    <col min="2308" max="2309" width="11.5703125" style="11" customWidth="1"/>
    <col min="2310" max="2310" width="11.85546875" style="11" customWidth="1"/>
    <col min="2311" max="2311" width="12.28515625" style="11" customWidth="1"/>
    <col min="2312" max="2312" width="10.28515625" style="11" customWidth="1"/>
    <col min="2313" max="2313" width="10.5703125" style="11" customWidth="1"/>
    <col min="2314" max="2314" width="10" style="11" customWidth="1"/>
    <col min="2315" max="2315" width="10.42578125" style="11" customWidth="1"/>
    <col min="2316" max="2316" width="10.5703125" style="11" customWidth="1"/>
    <col min="2317" max="2317" width="11" style="11" customWidth="1"/>
    <col min="2318" max="2318" width="11.28515625" style="11" customWidth="1"/>
    <col min="2319" max="2319" width="10.42578125" style="11" customWidth="1"/>
    <col min="2320" max="2558" width="9.140625" style="11"/>
    <col min="2559" max="2559" width="0" style="11" hidden="1" customWidth="1"/>
    <col min="2560" max="2560" width="0.7109375" style="11" customWidth="1"/>
    <col min="2561" max="2561" width="32.42578125" style="11" customWidth="1"/>
    <col min="2562" max="2562" width="32.140625" style="11" customWidth="1"/>
    <col min="2563" max="2563" width="14.5703125" style="11" customWidth="1"/>
    <col min="2564" max="2565" width="11.5703125" style="11" customWidth="1"/>
    <col min="2566" max="2566" width="11.85546875" style="11" customWidth="1"/>
    <col min="2567" max="2567" width="12.28515625" style="11" customWidth="1"/>
    <col min="2568" max="2568" width="10.28515625" style="11" customWidth="1"/>
    <col min="2569" max="2569" width="10.5703125" style="11" customWidth="1"/>
    <col min="2570" max="2570" width="10" style="11" customWidth="1"/>
    <col min="2571" max="2571" width="10.42578125" style="11" customWidth="1"/>
    <col min="2572" max="2572" width="10.5703125" style="11" customWidth="1"/>
    <col min="2573" max="2573" width="11" style="11" customWidth="1"/>
    <col min="2574" max="2574" width="11.28515625" style="11" customWidth="1"/>
    <col min="2575" max="2575" width="10.42578125" style="11" customWidth="1"/>
    <col min="2576" max="2814" width="9.140625" style="11"/>
    <col min="2815" max="2815" width="0" style="11" hidden="1" customWidth="1"/>
    <col min="2816" max="2816" width="0.7109375" style="11" customWidth="1"/>
    <col min="2817" max="2817" width="32.42578125" style="11" customWidth="1"/>
    <col min="2818" max="2818" width="32.140625" style="11" customWidth="1"/>
    <col min="2819" max="2819" width="14.5703125" style="11" customWidth="1"/>
    <col min="2820" max="2821" width="11.5703125" style="11" customWidth="1"/>
    <col min="2822" max="2822" width="11.85546875" style="11" customWidth="1"/>
    <col min="2823" max="2823" width="12.28515625" style="11" customWidth="1"/>
    <col min="2824" max="2824" width="10.28515625" style="11" customWidth="1"/>
    <col min="2825" max="2825" width="10.5703125" style="11" customWidth="1"/>
    <col min="2826" max="2826" width="10" style="11" customWidth="1"/>
    <col min="2827" max="2827" width="10.42578125" style="11" customWidth="1"/>
    <col min="2828" max="2828" width="10.5703125" style="11" customWidth="1"/>
    <col min="2829" max="2829" width="11" style="11" customWidth="1"/>
    <col min="2830" max="2830" width="11.28515625" style="11" customWidth="1"/>
    <col min="2831" max="2831" width="10.42578125" style="11" customWidth="1"/>
    <col min="2832" max="3070" width="9.140625" style="11"/>
    <col min="3071" max="3071" width="0" style="11" hidden="1" customWidth="1"/>
    <col min="3072" max="3072" width="0.7109375" style="11" customWidth="1"/>
    <col min="3073" max="3073" width="32.42578125" style="11" customWidth="1"/>
    <col min="3074" max="3074" width="32.140625" style="11" customWidth="1"/>
    <col min="3075" max="3075" width="14.5703125" style="11" customWidth="1"/>
    <col min="3076" max="3077" width="11.5703125" style="11" customWidth="1"/>
    <col min="3078" max="3078" width="11.85546875" style="11" customWidth="1"/>
    <col min="3079" max="3079" width="12.28515625" style="11" customWidth="1"/>
    <col min="3080" max="3080" width="10.28515625" style="11" customWidth="1"/>
    <col min="3081" max="3081" width="10.5703125" style="11" customWidth="1"/>
    <col min="3082" max="3082" width="10" style="11" customWidth="1"/>
    <col min="3083" max="3083" width="10.42578125" style="11" customWidth="1"/>
    <col min="3084" max="3084" width="10.5703125" style="11" customWidth="1"/>
    <col min="3085" max="3085" width="11" style="11" customWidth="1"/>
    <col min="3086" max="3086" width="11.28515625" style="11" customWidth="1"/>
    <col min="3087" max="3087" width="10.42578125" style="11" customWidth="1"/>
    <col min="3088" max="3326" width="9.140625" style="11"/>
    <col min="3327" max="3327" width="0" style="11" hidden="1" customWidth="1"/>
    <col min="3328" max="3328" width="0.7109375" style="11" customWidth="1"/>
    <col min="3329" max="3329" width="32.42578125" style="11" customWidth="1"/>
    <col min="3330" max="3330" width="32.140625" style="11" customWidth="1"/>
    <col min="3331" max="3331" width="14.5703125" style="11" customWidth="1"/>
    <col min="3332" max="3333" width="11.5703125" style="11" customWidth="1"/>
    <col min="3334" max="3334" width="11.85546875" style="11" customWidth="1"/>
    <col min="3335" max="3335" width="12.28515625" style="11" customWidth="1"/>
    <col min="3336" max="3336" width="10.28515625" style="11" customWidth="1"/>
    <col min="3337" max="3337" width="10.5703125" style="11" customWidth="1"/>
    <col min="3338" max="3338" width="10" style="11" customWidth="1"/>
    <col min="3339" max="3339" width="10.42578125" style="11" customWidth="1"/>
    <col min="3340" max="3340" width="10.5703125" style="11" customWidth="1"/>
    <col min="3341" max="3341" width="11" style="11" customWidth="1"/>
    <col min="3342" max="3342" width="11.28515625" style="11" customWidth="1"/>
    <col min="3343" max="3343" width="10.42578125" style="11" customWidth="1"/>
    <col min="3344" max="3582" width="9.140625" style="11"/>
    <col min="3583" max="3583" width="0" style="11" hidden="1" customWidth="1"/>
    <col min="3584" max="3584" width="0.7109375" style="11" customWidth="1"/>
    <col min="3585" max="3585" width="32.42578125" style="11" customWidth="1"/>
    <col min="3586" max="3586" width="32.140625" style="11" customWidth="1"/>
    <col min="3587" max="3587" width="14.5703125" style="11" customWidth="1"/>
    <col min="3588" max="3589" width="11.5703125" style="11" customWidth="1"/>
    <col min="3590" max="3590" width="11.85546875" style="11" customWidth="1"/>
    <col min="3591" max="3591" width="12.28515625" style="11" customWidth="1"/>
    <col min="3592" max="3592" width="10.28515625" style="11" customWidth="1"/>
    <col min="3593" max="3593" width="10.5703125" style="11" customWidth="1"/>
    <col min="3594" max="3594" width="10" style="11" customWidth="1"/>
    <col min="3595" max="3595" width="10.42578125" style="11" customWidth="1"/>
    <col min="3596" max="3596" width="10.5703125" style="11" customWidth="1"/>
    <col min="3597" max="3597" width="11" style="11" customWidth="1"/>
    <col min="3598" max="3598" width="11.28515625" style="11" customWidth="1"/>
    <col min="3599" max="3599" width="10.42578125" style="11" customWidth="1"/>
    <col min="3600" max="3838" width="9.140625" style="11"/>
    <col min="3839" max="3839" width="0" style="11" hidden="1" customWidth="1"/>
    <col min="3840" max="3840" width="0.7109375" style="11" customWidth="1"/>
    <col min="3841" max="3841" width="32.42578125" style="11" customWidth="1"/>
    <col min="3842" max="3842" width="32.140625" style="11" customWidth="1"/>
    <col min="3843" max="3843" width="14.5703125" style="11" customWidth="1"/>
    <col min="3844" max="3845" width="11.5703125" style="11" customWidth="1"/>
    <col min="3846" max="3846" width="11.85546875" style="11" customWidth="1"/>
    <col min="3847" max="3847" width="12.28515625" style="11" customWidth="1"/>
    <col min="3848" max="3848" width="10.28515625" style="11" customWidth="1"/>
    <col min="3849" max="3849" width="10.5703125" style="11" customWidth="1"/>
    <col min="3850" max="3850" width="10" style="11" customWidth="1"/>
    <col min="3851" max="3851" width="10.42578125" style="11" customWidth="1"/>
    <col min="3852" max="3852" width="10.5703125" style="11" customWidth="1"/>
    <col min="3853" max="3853" width="11" style="11" customWidth="1"/>
    <col min="3854" max="3854" width="11.28515625" style="11" customWidth="1"/>
    <col min="3855" max="3855" width="10.42578125" style="11" customWidth="1"/>
    <col min="3856" max="4094" width="9.140625" style="11"/>
    <col min="4095" max="4095" width="0" style="11" hidden="1" customWidth="1"/>
    <col min="4096" max="4096" width="0.7109375" style="11" customWidth="1"/>
    <col min="4097" max="4097" width="32.42578125" style="11" customWidth="1"/>
    <col min="4098" max="4098" width="32.140625" style="11" customWidth="1"/>
    <col min="4099" max="4099" width="14.5703125" style="11" customWidth="1"/>
    <col min="4100" max="4101" width="11.5703125" style="11" customWidth="1"/>
    <col min="4102" max="4102" width="11.85546875" style="11" customWidth="1"/>
    <col min="4103" max="4103" width="12.28515625" style="11" customWidth="1"/>
    <col min="4104" max="4104" width="10.28515625" style="11" customWidth="1"/>
    <col min="4105" max="4105" width="10.5703125" style="11" customWidth="1"/>
    <col min="4106" max="4106" width="10" style="11" customWidth="1"/>
    <col min="4107" max="4107" width="10.42578125" style="11" customWidth="1"/>
    <col min="4108" max="4108" width="10.5703125" style="11" customWidth="1"/>
    <col min="4109" max="4109" width="11" style="11" customWidth="1"/>
    <col min="4110" max="4110" width="11.28515625" style="11" customWidth="1"/>
    <col min="4111" max="4111" width="10.42578125" style="11" customWidth="1"/>
    <col min="4112" max="4350" width="9.140625" style="11"/>
    <col min="4351" max="4351" width="0" style="11" hidden="1" customWidth="1"/>
    <col min="4352" max="4352" width="0.7109375" style="11" customWidth="1"/>
    <col min="4353" max="4353" width="32.42578125" style="11" customWidth="1"/>
    <col min="4354" max="4354" width="32.140625" style="11" customWidth="1"/>
    <col min="4355" max="4355" width="14.5703125" style="11" customWidth="1"/>
    <col min="4356" max="4357" width="11.5703125" style="11" customWidth="1"/>
    <col min="4358" max="4358" width="11.85546875" style="11" customWidth="1"/>
    <col min="4359" max="4359" width="12.28515625" style="11" customWidth="1"/>
    <col min="4360" max="4360" width="10.28515625" style="11" customWidth="1"/>
    <col min="4361" max="4361" width="10.5703125" style="11" customWidth="1"/>
    <col min="4362" max="4362" width="10" style="11" customWidth="1"/>
    <col min="4363" max="4363" width="10.42578125" style="11" customWidth="1"/>
    <col min="4364" max="4364" width="10.5703125" style="11" customWidth="1"/>
    <col min="4365" max="4365" width="11" style="11" customWidth="1"/>
    <col min="4366" max="4366" width="11.28515625" style="11" customWidth="1"/>
    <col min="4367" max="4367" width="10.42578125" style="11" customWidth="1"/>
    <col min="4368" max="4606" width="9.140625" style="11"/>
    <col min="4607" max="4607" width="0" style="11" hidden="1" customWidth="1"/>
    <col min="4608" max="4608" width="0.7109375" style="11" customWidth="1"/>
    <col min="4609" max="4609" width="32.42578125" style="11" customWidth="1"/>
    <col min="4610" max="4610" width="32.140625" style="11" customWidth="1"/>
    <col min="4611" max="4611" width="14.5703125" style="11" customWidth="1"/>
    <col min="4612" max="4613" width="11.5703125" style="11" customWidth="1"/>
    <col min="4614" max="4614" width="11.85546875" style="11" customWidth="1"/>
    <col min="4615" max="4615" width="12.28515625" style="11" customWidth="1"/>
    <col min="4616" max="4616" width="10.28515625" style="11" customWidth="1"/>
    <col min="4617" max="4617" width="10.5703125" style="11" customWidth="1"/>
    <col min="4618" max="4618" width="10" style="11" customWidth="1"/>
    <col min="4619" max="4619" width="10.42578125" style="11" customWidth="1"/>
    <col min="4620" max="4620" width="10.5703125" style="11" customWidth="1"/>
    <col min="4621" max="4621" width="11" style="11" customWidth="1"/>
    <col min="4622" max="4622" width="11.28515625" style="11" customWidth="1"/>
    <col min="4623" max="4623" width="10.42578125" style="11" customWidth="1"/>
    <col min="4624" max="4862" width="9.140625" style="11"/>
    <col min="4863" max="4863" width="0" style="11" hidden="1" customWidth="1"/>
    <col min="4864" max="4864" width="0.7109375" style="11" customWidth="1"/>
    <col min="4865" max="4865" width="32.42578125" style="11" customWidth="1"/>
    <col min="4866" max="4866" width="32.140625" style="11" customWidth="1"/>
    <col min="4867" max="4867" width="14.5703125" style="11" customWidth="1"/>
    <col min="4868" max="4869" width="11.5703125" style="11" customWidth="1"/>
    <col min="4870" max="4870" width="11.85546875" style="11" customWidth="1"/>
    <col min="4871" max="4871" width="12.28515625" style="11" customWidth="1"/>
    <col min="4872" max="4872" width="10.28515625" style="11" customWidth="1"/>
    <col min="4873" max="4873" width="10.5703125" style="11" customWidth="1"/>
    <col min="4874" max="4874" width="10" style="11" customWidth="1"/>
    <col min="4875" max="4875" width="10.42578125" style="11" customWidth="1"/>
    <col min="4876" max="4876" width="10.5703125" style="11" customWidth="1"/>
    <col min="4877" max="4877" width="11" style="11" customWidth="1"/>
    <col min="4878" max="4878" width="11.28515625" style="11" customWidth="1"/>
    <col min="4879" max="4879" width="10.42578125" style="11" customWidth="1"/>
    <col min="4880" max="5118" width="9.140625" style="11"/>
    <col min="5119" max="5119" width="0" style="11" hidden="1" customWidth="1"/>
    <col min="5120" max="5120" width="0.7109375" style="11" customWidth="1"/>
    <col min="5121" max="5121" width="32.42578125" style="11" customWidth="1"/>
    <col min="5122" max="5122" width="32.140625" style="11" customWidth="1"/>
    <col min="5123" max="5123" width="14.5703125" style="11" customWidth="1"/>
    <col min="5124" max="5125" width="11.5703125" style="11" customWidth="1"/>
    <col min="5126" max="5126" width="11.85546875" style="11" customWidth="1"/>
    <col min="5127" max="5127" width="12.28515625" style="11" customWidth="1"/>
    <col min="5128" max="5128" width="10.28515625" style="11" customWidth="1"/>
    <col min="5129" max="5129" width="10.5703125" style="11" customWidth="1"/>
    <col min="5130" max="5130" width="10" style="11" customWidth="1"/>
    <col min="5131" max="5131" width="10.42578125" style="11" customWidth="1"/>
    <col min="5132" max="5132" width="10.5703125" style="11" customWidth="1"/>
    <col min="5133" max="5133" width="11" style="11" customWidth="1"/>
    <col min="5134" max="5134" width="11.28515625" style="11" customWidth="1"/>
    <col min="5135" max="5135" width="10.42578125" style="11" customWidth="1"/>
    <col min="5136" max="5374" width="9.140625" style="11"/>
    <col min="5375" max="5375" width="0" style="11" hidden="1" customWidth="1"/>
    <col min="5376" max="5376" width="0.7109375" style="11" customWidth="1"/>
    <col min="5377" max="5377" width="32.42578125" style="11" customWidth="1"/>
    <col min="5378" max="5378" width="32.140625" style="11" customWidth="1"/>
    <col min="5379" max="5379" width="14.5703125" style="11" customWidth="1"/>
    <col min="5380" max="5381" width="11.5703125" style="11" customWidth="1"/>
    <col min="5382" max="5382" width="11.85546875" style="11" customWidth="1"/>
    <col min="5383" max="5383" width="12.28515625" style="11" customWidth="1"/>
    <col min="5384" max="5384" width="10.28515625" style="11" customWidth="1"/>
    <col min="5385" max="5385" width="10.5703125" style="11" customWidth="1"/>
    <col min="5386" max="5386" width="10" style="11" customWidth="1"/>
    <col min="5387" max="5387" width="10.42578125" style="11" customWidth="1"/>
    <col min="5388" max="5388" width="10.5703125" style="11" customWidth="1"/>
    <col min="5389" max="5389" width="11" style="11" customWidth="1"/>
    <col min="5390" max="5390" width="11.28515625" style="11" customWidth="1"/>
    <col min="5391" max="5391" width="10.42578125" style="11" customWidth="1"/>
    <col min="5392" max="5630" width="9.140625" style="11"/>
    <col min="5631" max="5631" width="0" style="11" hidden="1" customWidth="1"/>
    <col min="5632" max="5632" width="0.7109375" style="11" customWidth="1"/>
    <col min="5633" max="5633" width="32.42578125" style="11" customWidth="1"/>
    <col min="5634" max="5634" width="32.140625" style="11" customWidth="1"/>
    <col min="5635" max="5635" width="14.5703125" style="11" customWidth="1"/>
    <col min="5636" max="5637" width="11.5703125" style="11" customWidth="1"/>
    <col min="5638" max="5638" width="11.85546875" style="11" customWidth="1"/>
    <col min="5639" max="5639" width="12.28515625" style="11" customWidth="1"/>
    <col min="5640" max="5640" width="10.28515625" style="11" customWidth="1"/>
    <col min="5641" max="5641" width="10.5703125" style="11" customWidth="1"/>
    <col min="5642" max="5642" width="10" style="11" customWidth="1"/>
    <col min="5643" max="5643" width="10.42578125" style="11" customWidth="1"/>
    <col min="5644" max="5644" width="10.5703125" style="11" customWidth="1"/>
    <col min="5645" max="5645" width="11" style="11" customWidth="1"/>
    <col min="5646" max="5646" width="11.28515625" style="11" customWidth="1"/>
    <col min="5647" max="5647" width="10.42578125" style="11" customWidth="1"/>
    <col min="5648" max="5886" width="9.140625" style="11"/>
    <col min="5887" max="5887" width="0" style="11" hidden="1" customWidth="1"/>
    <col min="5888" max="5888" width="0.7109375" style="11" customWidth="1"/>
    <col min="5889" max="5889" width="32.42578125" style="11" customWidth="1"/>
    <col min="5890" max="5890" width="32.140625" style="11" customWidth="1"/>
    <col min="5891" max="5891" width="14.5703125" style="11" customWidth="1"/>
    <col min="5892" max="5893" width="11.5703125" style="11" customWidth="1"/>
    <col min="5894" max="5894" width="11.85546875" style="11" customWidth="1"/>
    <col min="5895" max="5895" width="12.28515625" style="11" customWidth="1"/>
    <col min="5896" max="5896" width="10.28515625" style="11" customWidth="1"/>
    <col min="5897" max="5897" width="10.5703125" style="11" customWidth="1"/>
    <col min="5898" max="5898" width="10" style="11" customWidth="1"/>
    <col min="5899" max="5899" width="10.42578125" style="11" customWidth="1"/>
    <col min="5900" max="5900" width="10.5703125" style="11" customWidth="1"/>
    <col min="5901" max="5901" width="11" style="11" customWidth="1"/>
    <col min="5902" max="5902" width="11.28515625" style="11" customWidth="1"/>
    <col min="5903" max="5903" width="10.42578125" style="11" customWidth="1"/>
    <col min="5904" max="6142" width="9.140625" style="11"/>
    <col min="6143" max="6143" width="0" style="11" hidden="1" customWidth="1"/>
    <col min="6144" max="6144" width="0.7109375" style="11" customWidth="1"/>
    <col min="6145" max="6145" width="32.42578125" style="11" customWidth="1"/>
    <col min="6146" max="6146" width="32.140625" style="11" customWidth="1"/>
    <col min="6147" max="6147" width="14.5703125" style="11" customWidth="1"/>
    <col min="6148" max="6149" width="11.5703125" style="11" customWidth="1"/>
    <col min="6150" max="6150" width="11.85546875" style="11" customWidth="1"/>
    <col min="6151" max="6151" width="12.28515625" style="11" customWidth="1"/>
    <col min="6152" max="6152" width="10.28515625" style="11" customWidth="1"/>
    <col min="6153" max="6153" width="10.5703125" style="11" customWidth="1"/>
    <col min="6154" max="6154" width="10" style="11" customWidth="1"/>
    <col min="6155" max="6155" width="10.42578125" style="11" customWidth="1"/>
    <col min="6156" max="6156" width="10.5703125" style="11" customWidth="1"/>
    <col min="6157" max="6157" width="11" style="11" customWidth="1"/>
    <col min="6158" max="6158" width="11.28515625" style="11" customWidth="1"/>
    <col min="6159" max="6159" width="10.42578125" style="11" customWidth="1"/>
    <col min="6160" max="6398" width="9.140625" style="11"/>
    <col min="6399" max="6399" width="0" style="11" hidden="1" customWidth="1"/>
    <col min="6400" max="6400" width="0.7109375" style="11" customWidth="1"/>
    <col min="6401" max="6401" width="32.42578125" style="11" customWidth="1"/>
    <col min="6402" max="6402" width="32.140625" style="11" customWidth="1"/>
    <col min="6403" max="6403" width="14.5703125" style="11" customWidth="1"/>
    <col min="6404" max="6405" width="11.5703125" style="11" customWidth="1"/>
    <col min="6406" max="6406" width="11.85546875" style="11" customWidth="1"/>
    <col min="6407" max="6407" width="12.28515625" style="11" customWidth="1"/>
    <col min="6408" max="6408" width="10.28515625" style="11" customWidth="1"/>
    <col min="6409" max="6409" width="10.5703125" style="11" customWidth="1"/>
    <col min="6410" max="6410" width="10" style="11" customWidth="1"/>
    <col min="6411" max="6411" width="10.42578125" style="11" customWidth="1"/>
    <col min="6412" max="6412" width="10.5703125" style="11" customWidth="1"/>
    <col min="6413" max="6413" width="11" style="11" customWidth="1"/>
    <col min="6414" max="6414" width="11.28515625" style="11" customWidth="1"/>
    <col min="6415" max="6415" width="10.42578125" style="11" customWidth="1"/>
    <col min="6416" max="6654" width="9.140625" style="11"/>
    <col min="6655" max="6655" width="0" style="11" hidden="1" customWidth="1"/>
    <col min="6656" max="6656" width="0.7109375" style="11" customWidth="1"/>
    <col min="6657" max="6657" width="32.42578125" style="11" customWidth="1"/>
    <col min="6658" max="6658" width="32.140625" style="11" customWidth="1"/>
    <col min="6659" max="6659" width="14.5703125" style="11" customWidth="1"/>
    <col min="6660" max="6661" width="11.5703125" style="11" customWidth="1"/>
    <col min="6662" max="6662" width="11.85546875" style="11" customWidth="1"/>
    <col min="6663" max="6663" width="12.28515625" style="11" customWidth="1"/>
    <col min="6664" max="6664" width="10.28515625" style="11" customWidth="1"/>
    <col min="6665" max="6665" width="10.5703125" style="11" customWidth="1"/>
    <col min="6666" max="6666" width="10" style="11" customWidth="1"/>
    <col min="6667" max="6667" width="10.42578125" style="11" customWidth="1"/>
    <col min="6668" max="6668" width="10.5703125" style="11" customWidth="1"/>
    <col min="6669" max="6669" width="11" style="11" customWidth="1"/>
    <col min="6670" max="6670" width="11.28515625" style="11" customWidth="1"/>
    <col min="6671" max="6671" width="10.42578125" style="11" customWidth="1"/>
    <col min="6672" max="6910" width="9.140625" style="11"/>
    <col min="6911" max="6911" width="0" style="11" hidden="1" customWidth="1"/>
    <col min="6912" max="6912" width="0.7109375" style="11" customWidth="1"/>
    <col min="6913" max="6913" width="32.42578125" style="11" customWidth="1"/>
    <col min="6914" max="6914" width="32.140625" style="11" customWidth="1"/>
    <col min="6915" max="6915" width="14.5703125" style="11" customWidth="1"/>
    <col min="6916" max="6917" width="11.5703125" style="11" customWidth="1"/>
    <col min="6918" max="6918" width="11.85546875" style="11" customWidth="1"/>
    <col min="6919" max="6919" width="12.28515625" style="11" customWidth="1"/>
    <col min="6920" max="6920" width="10.28515625" style="11" customWidth="1"/>
    <col min="6921" max="6921" width="10.5703125" style="11" customWidth="1"/>
    <col min="6922" max="6922" width="10" style="11" customWidth="1"/>
    <col min="6923" max="6923" width="10.42578125" style="11" customWidth="1"/>
    <col min="6924" max="6924" width="10.5703125" style="11" customWidth="1"/>
    <col min="6925" max="6925" width="11" style="11" customWidth="1"/>
    <col min="6926" max="6926" width="11.28515625" style="11" customWidth="1"/>
    <col min="6927" max="6927" width="10.42578125" style="11" customWidth="1"/>
    <col min="6928" max="7166" width="9.140625" style="11"/>
    <col min="7167" max="7167" width="0" style="11" hidden="1" customWidth="1"/>
    <col min="7168" max="7168" width="0.7109375" style="11" customWidth="1"/>
    <col min="7169" max="7169" width="32.42578125" style="11" customWidth="1"/>
    <col min="7170" max="7170" width="32.140625" style="11" customWidth="1"/>
    <col min="7171" max="7171" width="14.5703125" style="11" customWidth="1"/>
    <col min="7172" max="7173" width="11.5703125" style="11" customWidth="1"/>
    <col min="7174" max="7174" width="11.85546875" style="11" customWidth="1"/>
    <col min="7175" max="7175" width="12.28515625" style="11" customWidth="1"/>
    <col min="7176" max="7176" width="10.28515625" style="11" customWidth="1"/>
    <col min="7177" max="7177" width="10.5703125" style="11" customWidth="1"/>
    <col min="7178" max="7178" width="10" style="11" customWidth="1"/>
    <col min="7179" max="7179" width="10.42578125" style="11" customWidth="1"/>
    <col min="7180" max="7180" width="10.5703125" style="11" customWidth="1"/>
    <col min="7181" max="7181" width="11" style="11" customWidth="1"/>
    <col min="7182" max="7182" width="11.28515625" style="11" customWidth="1"/>
    <col min="7183" max="7183" width="10.42578125" style="11" customWidth="1"/>
    <col min="7184" max="7422" width="9.140625" style="11"/>
    <col min="7423" max="7423" width="0" style="11" hidden="1" customWidth="1"/>
    <col min="7424" max="7424" width="0.7109375" style="11" customWidth="1"/>
    <col min="7425" max="7425" width="32.42578125" style="11" customWidth="1"/>
    <col min="7426" max="7426" width="32.140625" style="11" customWidth="1"/>
    <col min="7427" max="7427" width="14.5703125" style="11" customWidth="1"/>
    <col min="7428" max="7429" width="11.5703125" style="11" customWidth="1"/>
    <col min="7430" max="7430" width="11.85546875" style="11" customWidth="1"/>
    <col min="7431" max="7431" width="12.28515625" style="11" customWidth="1"/>
    <col min="7432" max="7432" width="10.28515625" style="11" customWidth="1"/>
    <col min="7433" max="7433" width="10.5703125" style="11" customWidth="1"/>
    <col min="7434" max="7434" width="10" style="11" customWidth="1"/>
    <col min="7435" max="7435" width="10.42578125" style="11" customWidth="1"/>
    <col min="7436" max="7436" width="10.5703125" style="11" customWidth="1"/>
    <col min="7437" max="7437" width="11" style="11" customWidth="1"/>
    <col min="7438" max="7438" width="11.28515625" style="11" customWidth="1"/>
    <col min="7439" max="7439" width="10.42578125" style="11" customWidth="1"/>
    <col min="7440" max="7678" width="9.140625" style="11"/>
    <col min="7679" max="7679" width="0" style="11" hidden="1" customWidth="1"/>
    <col min="7680" max="7680" width="0.7109375" style="11" customWidth="1"/>
    <col min="7681" max="7681" width="32.42578125" style="11" customWidth="1"/>
    <col min="7682" max="7682" width="32.140625" style="11" customWidth="1"/>
    <col min="7683" max="7683" width="14.5703125" style="11" customWidth="1"/>
    <col min="7684" max="7685" width="11.5703125" style="11" customWidth="1"/>
    <col min="7686" max="7686" width="11.85546875" style="11" customWidth="1"/>
    <col min="7687" max="7687" width="12.28515625" style="11" customWidth="1"/>
    <col min="7688" max="7688" width="10.28515625" style="11" customWidth="1"/>
    <col min="7689" max="7689" width="10.5703125" style="11" customWidth="1"/>
    <col min="7690" max="7690" width="10" style="11" customWidth="1"/>
    <col min="7691" max="7691" width="10.42578125" style="11" customWidth="1"/>
    <col min="7692" max="7692" width="10.5703125" style="11" customWidth="1"/>
    <col min="7693" max="7693" width="11" style="11" customWidth="1"/>
    <col min="7694" max="7694" width="11.28515625" style="11" customWidth="1"/>
    <col min="7695" max="7695" width="10.42578125" style="11" customWidth="1"/>
    <col min="7696" max="7934" width="9.140625" style="11"/>
    <col min="7935" max="7935" width="0" style="11" hidden="1" customWidth="1"/>
    <col min="7936" max="7936" width="0.7109375" style="11" customWidth="1"/>
    <col min="7937" max="7937" width="32.42578125" style="11" customWidth="1"/>
    <col min="7938" max="7938" width="32.140625" style="11" customWidth="1"/>
    <col min="7939" max="7939" width="14.5703125" style="11" customWidth="1"/>
    <col min="7940" max="7941" width="11.5703125" style="11" customWidth="1"/>
    <col min="7942" max="7942" width="11.85546875" style="11" customWidth="1"/>
    <col min="7943" max="7943" width="12.28515625" style="11" customWidth="1"/>
    <col min="7944" max="7944" width="10.28515625" style="11" customWidth="1"/>
    <col min="7945" max="7945" width="10.5703125" style="11" customWidth="1"/>
    <col min="7946" max="7946" width="10" style="11" customWidth="1"/>
    <col min="7947" max="7947" width="10.42578125" style="11" customWidth="1"/>
    <col min="7948" max="7948" width="10.5703125" style="11" customWidth="1"/>
    <col min="7949" max="7949" width="11" style="11" customWidth="1"/>
    <col min="7950" max="7950" width="11.28515625" style="11" customWidth="1"/>
    <col min="7951" max="7951" width="10.42578125" style="11" customWidth="1"/>
    <col min="7952" max="8190" width="9.140625" style="11"/>
    <col min="8191" max="8191" width="0" style="11" hidden="1" customWidth="1"/>
    <col min="8192" max="8192" width="0.7109375" style="11" customWidth="1"/>
    <col min="8193" max="8193" width="32.42578125" style="11" customWidth="1"/>
    <col min="8194" max="8194" width="32.140625" style="11" customWidth="1"/>
    <col min="8195" max="8195" width="14.5703125" style="11" customWidth="1"/>
    <col min="8196" max="8197" width="11.5703125" style="11" customWidth="1"/>
    <col min="8198" max="8198" width="11.85546875" style="11" customWidth="1"/>
    <col min="8199" max="8199" width="12.28515625" style="11" customWidth="1"/>
    <col min="8200" max="8200" width="10.28515625" style="11" customWidth="1"/>
    <col min="8201" max="8201" width="10.5703125" style="11" customWidth="1"/>
    <col min="8202" max="8202" width="10" style="11" customWidth="1"/>
    <col min="8203" max="8203" width="10.42578125" style="11" customWidth="1"/>
    <col min="8204" max="8204" width="10.5703125" style="11" customWidth="1"/>
    <col min="8205" max="8205" width="11" style="11" customWidth="1"/>
    <col min="8206" max="8206" width="11.28515625" style="11" customWidth="1"/>
    <col min="8207" max="8207" width="10.42578125" style="11" customWidth="1"/>
    <col min="8208" max="8446" width="9.140625" style="11"/>
    <col min="8447" max="8447" width="0" style="11" hidden="1" customWidth="1"/>
    <col min="8448" max="8448" width="0.7109375" style="11" customWidth="1"/>
    <col min="8449" max="8449" width="32.42578125" style="11" customWidth="1"/>
    <col min="8450" max="8450" width="32.140625" style="11" customWidth="1"/>
    <col min="8451" max="8451" width="14.5703125" style="11" customWidth="1"/>
    <col min="8452" max="8453" width="11.5703125" style="11" customWidth="1"/>
    <col min="8454" max="8454" width="11.85546875" style="11" customWidth="1"/>
    <col min="8455" max="8455" width="12.28515625" style="11" customWidth="1"/>
    <col min="8456" max="8456" width="10.28515625" style="11" customWidth="1"/>
    <col min="8457" max="8457" width="10.5703125" style="11" customWidth="1"/>
    <col min="8458" max="8458" width="10" style="11" customWidth="1"/>
    <col min="8459" max="8459" width="10.42578125" style="11" customWidth="1"/>
    <col min="8460" max="8460" width="10.5703125" style="11" customWidth="1"/>
    <col min="8461" max="8461" width="11" style="11" customWidth="1"/>
    <col min="8462" max="8462" width="11.28515625" style="11" customWidth="1"/>
    <col min="8463" max="8463" width="10.42578125" style="11" customWidth="1"/>
    <col min="8464" max="8702" width="9.140625" style="11"/>
    <col min="8703" max="8703" width="0" style="11" hidden="1" customWidth="1"/>
    <col min="8704" max="8704" width="0.7109375" style="11" customWidth="1"/>
    <col min="8705" max="8705" width="32.42578125" style="11" customWidth="1"/>
    <col min="8706" max="8706" width="32.140625" style="11" customWidth="1"/>
    <col min="8707" max="8707" width="14.5703125" style="11" customWidth="1"/>
    <col min="8708" max="8709" width="11.5703125" style="11" customWidth="1"/>
    <col min="8710" max="8710" width="11.85546875" style="11" customWidth="1"/>
    <col min="8711" max="8711" width="12.28515625" style="11" customWidth="1"/>
    <col min="8712" max="8712" width="10.28515625" style="11" customWidth="1"/>
    <col min="8713" max="8713" width="10.5703125" style="11" customWidth="1"/>
    <col min="8714" max="8714" width="10" style="11" customWidth="1"/>
    <col min="8715" max="8715" width="10.42578125" style="11" customWidth="1"/>
    <col min="8716" max="8716" width="10.5703125" style="11" customWidth="1"/>
    <col min="8717" max="8717" width="11" style="11" customWidth="1"/>
    <col min="8718" max="8718" width="11.28515625" style="11" customWidth="1"/>
    <col min="8719" max="8719" width="10.42578125" style="11" customWidth="1"/>
    <col min="8720" max="8958" width="9.140625" style="11"/>
    <col min="8959" max="8959" width="0" style="11" hidden="1" customWidth="1"/>
    <col min="8960" max="8960" width="0.7109375" style="11" customWidth="1"/>
    <col min="8961" max="8961" width="32.42578125" style="11" customWidth="1"/>
    <col min="8962" max="8962" width="32.140625" style="11" customWidth="1"/>
    <col min="8963" max="8963" width="14.5703125" style="11" customWidth="1"/>
    <col min="8964" max="8965" width="11.5703125" style="11" customWidth="1"/>
    <col min="8966" max="8966" width="11.85546875" style="11" customWidth="1"/>
    <col min="8967" max="8967" width="12.28515625" style="11" customWidth="1"/>
    <col min="8968" max="8968" width="10.28515625" style="11" customWidth="1"/>
    <col min="8969" max="8969" width="10.5703125" style="11" customWidth="1"/>
    <col min="8970" max="8970" width="10" style="11" customWidth="1"/>
    <col min="8971" max="8971" width="10.42578125" style="11" customWidth="1"/>
    <col min="8972" max="8972" width="10.5703125" style="11" customWidth="1"/>
    <col min="8973" max="8973" width="11" style="11" customWidth="1"/>
    <col min="8974" max="8974" width="11.28515625" style="11" customWidth="1"/>
    <col min="8975" max="8975" width="10.42578125" style="11" customWidth="1"/>
    <col min="8976" max="9214" width="9.140625" style="11"/>
    <col min="9215" max="9215" width="0" style="11" hidden="1" customWidth="1"/>
    <col min="9216" max="9216" width="0.7109375" style="11" customWidth="1"/>
    <col min="9217" max="9217" width="32.42578125" style="11" customWidth="1"/>
    <col min="9218" max="9218" width="32.140625" style="11" customWidth="1"/>
    <col min="9219" max="9219" width="14.5703125" style="11" customWidth="1"/>
    <col min="9220" max="9221" width="11.5703125" style="11" customWidth="1"/>
    <col min="9222" max="9222" width="11.85546875" style="11" customWidth="1"/>
    <col min="9223" max="9223" width="12.28515625" style="11" customWidth="1"/>
    <col min="9224" max="9224" width="10.28515625" style="11" customWidth="1"/>
    <col min="9225" max="9225" width="10.5703125" style="11" customWidth="1"/>
    <col min="9226" max="9226" width="10" style="11" customWidth="1"/>
    <col min="9227" max="9227" width="10.42578125" style="11" customWidth="1"/>
    <col min="9228" max="9228" width="10.5703125" style="11" customWidth="1"/>
    <col min="9229" max="9229" width="11" style="11" customWidth="1"/>
    <col min="9230" max="9230" width="11.28515625" style="11" customWidth="1"/>
    <col min="9231" max="9231" width="10.42578125" style="11" customWidth="1"/>
    <col min="9232" max="9470" width="9.140625" style="11"/>
    <col min="9471" max="9471" width="0" style="11" hidden="1" customWidth="1"/>
    <col min="9472" max="9472" width="0.7109375" style="11" customWidth="1"/>
    <col min="9473" max="9473" width="32.42578125" style="11" customWidth="1"/>
    <col min="9474" max="9474" width="32.140625" style="11" customWidth="1"/>
    <col min="9475" max="9475" width="14.5703125" style="11" customWidth="1"/>
    <col min="9476" max="9477" width="11.5703125" style="11" customWidth="1"/>
    <col min="9478" max="9478" width="11.85546875" style="11" customWidth="1"/>
    <col min="9479" max="9479" width="12.28515625" style="11" customWidth="1"/>
    <col min="9480" max="9480" width="10.28515625" style="11" customWidth="1"/>
    <col min="9481" max="9481" width="10.5703125" style="11" customWidth="1"/>
    <col min="9482" max="9482" width="10" style="11" customWidth="1"/>
    <col min="9483" max="9483" width="10.42578125" style="11" customWidth="1"/>
    <col min="9484" max="9484" width="10.5703125" style="11" customWidth="1"/>
    <col min="9485" max="9485" width="11" style="11" customWidth="1"/>
    <col min="9486" max="9486" width="11.28515625" style="11" customWidth="1"/>
    <col min="9487" max="9487" width="10.42578125" style="11" customWidth="1"/>
    <col min="9488" max="9726" width="9.140625" style="11"/>
    <col min="9727" max="9727" width="0" style="11" hidden="1" customWidth="1"/>
    <col min="9728" max="9728" width="0.7109375" style="11" customWidth="1"/>
    <col min="9729" max="9729" width="32.42578125" style="11" customWidth="1"/>
    <col min="9730" max="9730" width="32.140625" style="11" customWidth="1"/>
    <col min="9731" max="9731" width="14.5703125" style="11" customWidth="1"/>
    <col min="9732" max="9733" width="11.5703125" style="11" customWidth="1"/>
    <col min="9734" max="9734" width="11.85546875" style="11" customWidth="1"/>
    <col min="9735" max="9735" width="12.28515625" style="11" customWidth="1"/>
    <col min="9736" max="9736" width="10.28515625" style="11" customWidth="1"/>
    <col min="9737" max="9737" width="10.5703125" style="11" customWidth="1"/>
    <col min="9738" max="9738" width="10" style="11" customWidth="1"/>
    <col min="9739" max="9739" width="10.42578125" style="11" customWidth="1"/>
    <col min="9740" max="9740" width="10.5703125" style="11" customWidth="1"/>
    <col min="9741" max="9741" width="11" style="11" customWidth="1"/>
    <col min="9742" max="9742" width="11.28515625" style="11" customWidth="1"/>
    <col min="9743" max="9743" width="10.42578125" style="11" customWidth="1"/>
    <col min="9744" max="9982" width="9.140625" style="11"/>
    <col min="9983" max="9983" width="0" style="11" hidden="1" customWidth="1"/>
    <col min="9984" max="9984" width="0.7109375" style="11" customWidth="1"/>
    <col min="9985" max="9985" width="32.42578125" style="11" customWidth="1"/>
    <col min="9986" max="9986" width="32.140625" style="11" customWidth="1"/>
    <col min="9987" max="9987" width="14.5703125" style="11" customWidth="1"/>
    <col min="9988" max="9989" width="11.5703125" style="11" customWidth="1"/>
    <col min="9990" max="9990" width="11.85546875" style="11" customWidth="1"/>
    <col min="9991" max="9991" width="12.28515625" style="11" customWidth="1"/>
    <col min="9992" max="9992" width="10.28515625" style="11" customWidth="1"/>
    <col min="9993" max="9993" width="10.5703125" style="11" customWidth="1"/>
    <col min="9994" max="9994" width="10" style="11" customWidth="1"/>
    <col min="9995" max="9995" width="10.42578125" style="11" customWidth="1"/>
    <col min="9996" max="9996" width="10.5703125" style="11" customWidth="1"/>
    <col min="9997" max="9997" width="11" style="11" customWidth="1"/>
    <col min="9998" max="9998" width="11.28515625" style="11" customWidth="1"/>
    <col min="9999" max="9999" width="10.42578125" style="11" customWidth="1"/>
    <col min="10000" max="10238" width="9.140625" style="11"/>
    <col min="10239" max="10239" width="0" style="11" hidden="1" customWidth="1"/>
    <col min="10240" max="10240" width="0.7109375" style="11" customWidth="1"/>
    <col min="10241" max="10241" width="32.42578125" style="11" customWidth="1"/>
    <col min="10242" max="10242" width="32.140625" style="11" customWidth="1"/>
    <col min="10243" max="10243" width="14.5703125" style="11" customWidth="1"/>
    <col min="10244" max="10245" width="11.5703125" style="11" customWidth="1"/>
    <col min="10246" max="10246" width="11.85546875" style="11" customWidth="1"/>
    <col min="10247" max="10247" width="12.28515625" style="11" customWidth="1"/>
    <col min="10248" max="10248" width="10.28515625" style="11" customWidth="1"/>
    <col min="10249" max="10249" width="10.5703125" style="11" customWidth="1"/>
    <col min="10250" max="10250" width="10" style="11" customWidth="1"/>
    <col min="10251" max="10251" width="10.42578125" style="11" customWidth="1"/>
    <col min="10252" max="10252" width="10.5703125" style="11" customWidth="1"/>
    <col min="10253" max="10253" width="11" style="11" customWidth="1"/>
    <col min="10254" max="10254" width="11.28515625" style="11" customWidth="1"/>
    <col min="10255" max="10255" width="10.42578125" style="11" customWidth="1"/>
    <col min="10256" max="10494" width="9.140625" style="11"/>
    <col min="10495" max="10495" width="0" style="11" hidden="1" customWidth="1"/>
    <col min="10496" max="10496" width="0.7109375" style="11" customWidth="1"/>
    <col min="10497" max="10497" width="32.42578125" style="11" customWidth="1"/>
    <col min="10498" max="10498" width="32.140625" style="11" customWidth="1"/>
    <col min="10499" max="10499" width="14.5703125" style="11" customWidth="1"/>
    <col min="10500" max="10501" width="11.5703125" style="11" customWidth="1"/>
    <col min="10502" max="10502" width="11.85546875" style="11" customWidth="1"/>
    <col min="10503" max="10503" width="12.28515625" style="11" customWidth="1"/>
    <col min="10504" max="10504" width="10.28515625" style="11" customWidth="1"/>
    <col min="10505" max="10505" width="10.5703125" style="11" customWidth="1"/>
    <col min="10506" max="10506" width="10" style="11" customWidth="1"/>
    <col min="10507" max="10507" width="10.42578125" style="11" customWidth="1"/>
    <col min="10508" max="10508" width="10.5703125" style="11" customWidth="1"/>
    <col min="10509" max="10509" width="11" style="11" customWidth="1"/>
    <col min="10510" max="10510" width="11.28515625" style="11" customWidth="1"/>
    <col min="10511" max="10511" width="10.42578125" style="11" customWidth="1"/>
    <col min="10512" max="10750" width="9.140625" style="11"/>
    <col min="10751" max="10751" width="0" style="11" hidden="1" customWidth="1"/>
    <col min="10752" max="10752" width="0.7109375" style="11" customWidth="1"/>
    <col min="10753" max="10753" width="32.42578125" style="11" customWidth="1"/>
    <col min="10754" max="10754" width="32.140625" style="11" customWidth="1"/>
    <col min="10755" max="10755" width="14.5703125" style="11" customWidth="1"/>
    <col min="10756" max="10757" width="11.5703125" style="11" customWidth="1"/>
    <col min="10758" max="10758" width="11.85546875" style="11" customWidth="1"/>
    <col min="10759" max="10759" width="12.28515625" style="11" customWidth="1"/>
    <col min="10760" max="10760" width="10.28515625" style="11" customWidth="1"/>
    <col min="10761" max="10761" width="10.5703125" style="11" customWidth="1"/>
    <col min="10762" max="10762" width="10" style="11" customWidth="1"/>
    <col min="10763" max="10763" width="10.42578125" style="11" customWidth="1"/>
    <col min="10764" max="10764" width="10.5703125" style="11" customWidth="1"/>
    <col min="10765" max="10765" width="11" style="11" customWidth="1"/>
    <col min="10766" max="10766" width="11.28515625" style="11" customWidth="1"/>
    <col min="10767" max="10767" width="10.42578125" style="11" customWidth="1"/>
    <col min="10768" max="11006" width="9.140625" style="11"/>
    <col min="11007" max="11007" width="0" style="11" hidden="1" customWidth="1"/>
    <col min="11008" max="11008" width="0.7109375" style="11" customWidth="1"/>
    <col min="11009" max="11009" width="32.42578125" style="11" customWidth="1"/>
    <col min="11010" max="11010" width="32.140625" style="11" customWidth="1"/>
    <col min="11011" max="11011" width="14.5703125" style="11" customWidth="1"/>
    <col min="11012" max="11013" width="11.5703125" style="11" customWidth="1"/>
    <col min="11014" max="11014" width="11.85546875" style="11" customWidth="1"/>
    <col min="11015" max="11015" width="12.28515625" style="11" customWidth="1"/>
    <col min="11016" max="11016" width="10.28515625" style="11" customWidth="1"/>
    <col min="11017" max="11017" width="10.5703125" style="11" customWidth="1"/>
    <col min="11018" max="11018" width="10" style="11" customWidth="1"/>
    <col min="11019" max="11019" width="10.42578125" style="11" customWidth="1"/>
    <col min="11020" max="11020" width="10.5703125" style="11" customWidth="1"/>
    <col min="11021" max="11021" width="11" style="11" customWidth="1"/>
    <col min="11022" max="11022" width="11.28515625" style="11" customWidth="1"/>
    <col min="11023" max="11023" width="10.42578125" style="11" customWidth="1"/>
    <col min="11024" max="11262" width="9.140625" style="11"/>
    <col min="11263" max="11263" width="0" style="11" hidden="1" customWidth="1"/>
    <col min="11264" max="11264" width="0.7109375" style="11" customWidth="1"/>
    <col min="11265" max="11265" width="32.42578125" style="11" customWidth="1"/>
    <col min="11266" max="11266" width="32.140625" style="11" customWidth="1"/>
    <col min="11267" max="11267" width="14.5703125" style="11" customWidth="1"/>
    <col min="11268" max="11269" width="11.5703125" style="11" customWidth="1"/>
    <col min="11270" max="11270" width="11.85546875" style="11" customWidth="1"/>
    <col min="11271" max="11271" width="12.28515625" style="11" customWidth="1"/>
    <col min="11272" max="11272" width="10.28515625" style="11" customWidth="1"/>
    <col min="11273" max="11273" width="10.5703125" style="11" customWidth="1"/>
    <col min="11274" max="11274" width="10" style="11" customWidth="1"/>
    <col min="11275" max="11275" width="10.42578125" style="11" customWidth="1"/>
    <col min="11276" max="11276" width="10.5703125" style="11" customWidth="1"/>
    <col min="11277" max="11277" width="11" style="11" customWidth="1"/>
    <col min="11278" max="11278" width="11.28515625" style="11" customWidth="1"/>
    <col min="11279" max="11279" width="10.42578125" style="11" customWidth="1"/>
    <col min="11280" max="11518" width="9.140625" style="11"/>
    <col min="11519" max="11519" width="0" style="11" hidden="1" customWidth="1"/>
    <col min="11520" max="11520" width="0.7109375" style="11" customWidth="1"/>
    <col min="11521" max="11521" width="32.42578125" style="11" customWidth="1"/>
    <col min="11522" max="11522" width="32.140625" style="11" customWidth="1"/>
    <col min="11523" max="11523" width="14.5703125" style="11" customWidth="1"/>
    <col min="11524" max="11525" width="11.5703125" style="11" customWidth="1"/>
    <col min="11526" max="11526" width="11.85546875" style="11" customWidth="1"/>
    <col min="11527" max="11527" width="12.28515625" style="11" customWidth="1"/>
    <col min="11528" max="11528" width="10.28515625" style="11" customWidth="1"/>
    <col min="11529" max="11529" width="10.5703125" style="11" customWidth="1"/>
    <col min="11530" max="11530" width="10" style="11" customWidth="1"/>
    <col min="11531" max="11531" width="10.42578125" style="11" customWidth="1"/>
    <col min="11532" max="11532" width="10.5703125" style="11" customWidth="1"/>
    <col min="11533" max="11533" width="11" style="11" customWidth="1"/>
    <col min="11534" max="11534" width="11.28515625" style="11" customWidth="1"/>
    <col min="11535" max="11535" width="10.42578125" style="11" customWidth="1"/>
    <col min="11536" max="11774" width="9.140625" style="11"/>
    <col min="11775" max="11775" width="0" style="11" hidden="1" customWidth="1"/>
    <col min="11776" max="11776" width="0.7109375" style="11" customWidth="1"/>
    <col min="11777" max="11777" width="32.42578125" style="11" customWidth="1"/>
    <col min="11778" max="11778" width="32.140625" style="11" customWidth="1"/>
    <col min="11779" max="11779" width="14.5703125" style="11" customWidth="1"/>
    <col min="11780" max="11781" width="11.5703125" style="11" customWidth="1"/>
    <col min="11782" max="11782" width="11.85546875" style="11" customWidth="1"/>
    <col min="11783" max="11783" width="12.28515625" style="11" customWidth="1"/>
    <col min="11784" max="11784" width="10.28515625" style="11" customWidth="1"/>
    <col min="11785" max="11785" width="10.5703125" style="11" customWidth="1"/>
    <col min="11786" max="11786" width="10" style="11" customWidth="1"/>
    <col min="11787" max="11787" width="10.42578125" style="11" customWidth="1"/>
    <col min="11788" max="11788" width="10.5703125" style="11" customWidth="1"/>
    <col min="11789" max="11789" width="11" style="11" customWidth="1"/>
    <col min="11790" max="11790" width="11.28515625" style="11" customWidth="1"/>
    <col min="11791" max="11791" width="10.42578125" style="11" customWidth="1"/>
    <col min="11792" max="12030" width="9.140625" style="11"/>
    <col min="12031" max="12031" width="0" style="11" hidden="1" customWidth="1"/>
    <col min="12032" max="12032" width="0.7109375" style="11" customWidth="1"/>
    <col min="12033" max="12033" width="32.42578125" style="11" customWidth="1"/>
    <col min="12034" max="12034" width="32.140625" style="11" customWidth="1"/>
    <col min="12035" max="12035" width="14.5703125" style="11" customWidth="1"/>
    <col min="12036" max="12037" width="11.5703125" style="11" customWidth="1"/>
    <col min="12038" max="12038" width="11.85546875" style="11" customWidth="1"/>
    <col min="12039" max="12039" width="12.28515625" style="11" customWidth="1"/>
    <col min="12040" max="12040" width="10.28515625" style="11" customWidth="1"/>
    <col min="12041" max="12041" width="10.5703125" style="11" customWidth="1"/>
    <col min="12042" max="12042" width="10" style="11" customWidth="1"/>
    <col min="12043" max="12043" width="10.42578125" style="11" customWidth="1"/>
    <col min="12044" max="12044" width="10.5703125" style="11" customWidth="1"/>
    <col min="12045" max="12045" width="11" style="11" customWidth="1"/>
    <col min="12046" max="12046" width="11.28515625" style="11" customWidth="1"/>
    <col min="12047" max="12047" width="10.42578125" style="11" customWidth="1"/>
    <col min="12048" max="12286" width="9.140625" style="11"/>
    <col min="12287" max="12287" width="0" style="11" hidden="1" customWidth="1"/>
    <col min="12288" max="12288" width="0.7109375" style="11" customWidth="1"/>
    <col min="12289" max="12289" width="32.42578125" style="11" customWidth="1"/>
    <col min="12290" max="12290" width="32.140625" style="11" customWidth="1"/>
    <col min="12291" max="12291" width="14.5703125" style="11" customWidth="1"/>
    <col min="12292" max="12293" width="11.5703125" style="11" customWidth="1"/>
    <col min="12294" max="12294" width="11.85546875" style="11" customWidth="1"/>
    <col min="12295" max="12295" width="12.28515625" style="11" customWidth="1"/>
    <col min="12296" max="12296" width="10.28515625" style="11" customWidth="1"/>
    <col min="12297" max="12297" width="10.5703125" style="11" customWidth="1"/>
    <col min="12298" max="12298" width="10" style="11" customWidth="1"/>
    <col min="12299" max="12299" width="10.42578125" style="11" customWidth="1"/>
    <col min="12300" max="12300" width="10.5703125" style="11" customWidth="1"/>
    <col min="12301" max="12301" width="11" style="11" customWidth="1"/>
    <col min="12302" max="12302" width="11.28515625" style="11" customWidth="1"/>
    <col min="12303" max="12303" width="10.42578125" style="11" customWidth="1"/>
    <col min="12304" max="12542" width="9.140625" style="11"/>
    <col min="12543" max="12543" width="0" style="11" hidden="1" customWidth="1"/>
    <col min="12544" max="12544" width="0.7109375" style="11" customWidth="1"/>
    <col min="12545" max="12545" width="32.42578125" style="11" customWidth="1"/>
    <col min="12546" max="12546" width="32.140625" style="11" customWidth="1"/>
    <col min="12547" max="12547" width="14.5703125" style="11" customWidth="1"/>
    <col min="12548" max="12549" width="11.5703125" style="11" customWidth="1"/>
    <col min="12550" max="12550" width="11.85546875" style="11" customWidth="1"/>
    <col min="12551" max="12551" width="12.28515625" style="11" customWidth="1"/>
    <col min="12552" max="12552" width="10.28515625" style="11" customWidth="1"/>
    <col min="12553" max="12553" width="10.5703125" style="11" customWidth="1"/>
    <col min="12554" max="12554" width="10" style="11" customWidth="1"/>
    <col min="12555" max="12555" width="10.42578125" style="11" customWidth="1"/>
    <col min="12556" max="12556" width="10.5703125" style="11" customWidth="1"/>
    <col min="12557" max="12557" width="11" style="11" customWidth="1"/>
    <col min="12558" max="12558" width="11.28515625" style="11" customWidth="1"/>
    <col min="12559" max="12559" width="10.42578125" style="11" customWidth="1"/>
    <col min="12560" max="12798" width="9.140625" style="11"/>
    <col min="12799" max="12799" width="0" style="11" hidden="1" customWidth="1"/>
    <col min="12800" max="12800" width="0.7109375" style="11" customWidth="1"/>
    <col min="12801" max="12801" width="32.42578125" style="11" customWidth="1"/>
    <col min="12802" max="12802" width="32.140625" style="11" customWidth="1"/>
    <col min="12803" max="12803" width="14.5703125" style="11" customWidth="1"/>
    <col min="12804" max="12805" width="11.5703125" style="11" customWidth="1"/>
    <col min="12806" max="12806" width="11.85546875" style="11" customWidth="1"/>
    <col min="12807" max="12807" width="12.28515625" style="11" customWidth="1"/>
    <col min="12808" max="12808" width="10.28515625" style="11" customWidth="1"/>
    <col min="12809" max="12809" width="10.5703125" style="11" customWidth="1"/>
    <col min="12810" max="12810" width="10" style="11" customWidth="1"/>
    <col min="12811" max="12811" width="10.42578125" style="11" customWidth="1"/>
    <col min="12812" max="12812" width="10.5703125" style="11" customWidth="1"/>
    <col min="12813" max="12813" width="11" style="11" customWidth="1"/>
    <col min="12814" max="12814" width="11.28515625" style="11" customWidth="1"/>
    <col min="12815" max="12815" width="10.42578125" style="11" customWidth="1"/>
    <col min="12816" max="13054" width="9.140625" style="11"/>
    <col min="13055" max="13055" width="0" style="11" hidden="1" customWidth="1"/>
    <col min="13056" max="13056" width="0.7109375" style="11" customWidth="1"/>
    <col min="13057" max="13057" width="32.42578125" style="11" customWidth="1"/>
    <col min="13058" max="13058" width="32.140625" style="11" customWidth="1"/>
    <col min="13059" max="13059" width="14.5703125" style="11" customWidth="1"/>
    <col min="13060" max="13061" width="11.5703125" style="11" customWidth="1"/>
    <col min="13062" max="13062" width="11.85546875" style="11" customWidth="1"/>
    <col min="13063" max="13063" width="12.28515625" style="11" customWidth="1"/>
    <col min="13064" max="13064" width="10.28515625" style="11" customWidth="1"/>
    <col min="13065" max="13065" width="10.5703125" style="11" customWidth="1"/>
    <col min="13066" max="13066" width="10" style="11" customWidth="1"/>
    <col min="13067" max="13067" width="10.42578125" style="11" customWidth="1"/>
    <col min="13068" max="13068" width="10.5703125" style="11" customWidth="1"/>
    <col min="13069" max="13069" width="11" style="11" customWidth="1"/>
    <col min="13070" max="13070" width="11.28515625" style="11" customWidth="1"/>
    <col min="13071" max="13071" width="10.42578125" style="11" customWidth="1"/>
    <col min="13072" max="13310" width="9.140625" style="11"/>
    <col min="13311" max="13311" width="0" style="11" hidden="1" customWidth="1"/>
    <col min="13312" max="13312" width="0.7109375" style="11" customWidth="1"/>
    <col min="13313" max="13313" width="32.42578125" style="11" customWidth="1"/>
    <col min="13314" max="13314" width="32.140625" style="11" customWidth="1"/>
    <col min="13315" max="13315" width="14.5703125" style="11" customWidth="1"/>
    <col min="13316" max="13317" width="11.5703125" style="11" customWidth="1"/>
    <col min="13318" max="13318" width="11.85546875" style="11" customWidth="1"/>
    <col min="13319" max="13319" width="12.28515625" style="11" customWidth="1"/>
    <col min="13320" max="13320" width="10.28515625" style="11" customWidth="1"/>
    <col min="13321" max="13321" width="10.5703125" style="11" customWidth="1"/>
    <col min="13322" max="13322" width="10" style="11" customWidth="1"/>
    <col min="13323" max="13323" width="10.42578125" style="11" customWidth="1"/>
    <col min="13324" max="13324" width="10.5703125" style="11" customWidth="1"/>
    <col min="13325" max="13325" width="11" style="11" customWidth="1"/>
    <col min="13326" max="13326" width="11.28515625" style="11" customWidth="1"/>
    <col min="13327" max="13327" width="10.42578125" style="11" customWidth="1"/>
    <col min="13328" max="13566" width="9.140625" style="11"/>
    <col min="13567" max="13567" width="0" style="11" hidden="1" customWidth="1"/>
    <col min="13568" max="13568" width="0.7109375" style="11" customWidth="1"/>
    <col min="13569" max="13569" width="32.42578125" style="11" customWidth="1"/>
    <col min="13570" max="13570" width="32.140625" style="11" customWidth="1"/>
    <col min="13571" max="13571" width="14.5703125" style="11" customWidth="1"/>
    <col min="13572" max="13573" width="11.5703125" style="11" customWidth="1"/>
    <col min="13574" max="13574" width="11.85546875" style="11" customWidth="1"/>
    <col min="13575" max="13575" width="12.28515625" style="11" customWidth="1"/>
    <col min="13576" max="13576" width="10.28515625" style="11" customWidth="1"/>
    <col min="13577" max="13577" width="10.5703125" style="11" customWidth="1"/>
    <col min="13578" max="13578" width="10" style="11" customWidth="1"/>
    <col min="13579" max="13579" width="10.42578125" style="11" customWidth="1"/>
    <col min="13580" max="13580" width="10.5703125" style="11" customWidth="1"/>
    <col min="13581" max="13581" width="11" style="11" customWidth="1"/>
    <col min="13582" max="13582" width="11.28515625" style="11" customWidth="1"/>
    <col min="13583" max="13583" width="10.42578125" style="11" customWidth="1"/>
    <col min="13584" max="13822" width="9.140625" style="11"/>
    <col min="13823" max="13823" width="0" style="11" hidden="1" customWidth="1"/>
    <col min="13824" max="13824" width="0.7109375" style="11" customWidth="1"/>
    <col min="13825" max="13825" width="32.42578125" style="11" customWidth="1"/>
    <col min="13826" max="13826" width="32.140625" style="11" customWidth="1"/>
    <col min="13827" max="13827" width="14.5703125" style="11" customWidth="1"/>
    <col min="13828" max="13829" width="11.5703125" style="11" customWidth="1"/>
    <col min="13830" max="13830" width="11.85546875" style="11" customWidth="1"/>
    <col min="13831" max="13831" width="12.28515625" style="11" customWidth="1"/>
    <col min="13832" max="13832" width="10.28515625" style="11" customWidth="1"/>
    <col min="13833" max="13833" width="10.5703125" style="11" customWidth="1"/>
    <col min="13834" max="13834" width="10" style="11" customWidth="1"/>
    <col min="13835" max="13835" width="10.42578125" style="11" customWidth="1"/>
    <col min="13836" max="13836" width="10.5703125" style="11" customWidth="1"/>
    <col min="13837" max="13837" width="11" style="11" customWidth="1"/>
    <col min="13838" max="13838" width="11.28515625" style="11" customWidth="1"/>
    <col min="13839" max="13839" width="10.42578125" style="11" customWidth="1"/>
    <col min="13840" max="14078" width="9.140625" style="11"/>
    <col min="14079" max="14079" width="0" style="11" hidden="1" customWidth="1"/>
    <col min="14080" max="14080" width="0.7109375" style="11" customWidth="1"/>
    <col min="14081" max="14081" width="32.42578125" style="11" customWidth="1"/>
    <col min="14082" max="14082" width="32.140625" style="11" customWidth="1"/>
    <col min="14083" max="14083" width="14.5703125" style="11" customWidth="1"/>
    <col min="14084" max="14085" width="11.5703125" style="11" customWidth="1"/>
    <col min="14086" max="14086" width="11.85546875" style="11" customWidth="1"/>
    <col min="14087" max="14087" width="12.28515625" style="11" customWidth="1"/>
    <col min="14088" max="14088" width="10.28515625" style="11" customWidth="1"/>
    <col min="14089" max="14089" width="10.5703125" style="11" customWidth="1"/>
    <col min="14090" max="14090" width="10" style="11" customWidth="1"/>
    <col min="14091" max="14091" width="10.42578125" style="11" customWidth="1"/>
    <col min="14092" max="14092" width="10.5703125" style="11" customWidth="1"/>
    <col min="14093" max="14093" width="11" style="11" customWidth="1"/>
    <col min="14094" max="14094" width="11.28515625" style="11" customWidth="1"/>
    <col min="14095" max="14095" width="10.42578125" style="11" customWidth="1"/>
    <col min="14096" max="14334" width="9.140625" style="11"/>
    <col min="14335" max="14335" width="0" style="11" hidden="1" customWidth="1"/>
    <col min="14336" max="14336" width="0.7109375" style="11" customWidth="1"/>
    <col min="14337" max="14337" width="32.42578125" style="11" customWidth="1"/>
    <col min="14338" max="14338" width="32.140625" style="11" customWidth="1"/>
    <col min="14339" max="14339" width="14.5703125" style="11" customWidth="1"/>
    <col min="14340" max="14341" width="11.5703125" style="11" customWidth="1"/>
    <col min="14342" max="14342" width="11.85546875" style="11" customWidth="1"/>
    <col min="14343" max="14343" width="12.28515625" style="11" customWidth="1"/>
    <col min="14344" max="14344" width="10.28515625" style="11" customWidth="1"/>
    <col min="14345" max="14345" width="10.5703125" style="11" customWidth="1"/>
    <col min="14346" max="14346" width="10" style="11" customWidth="1"/>
    <col min="14347" max="14347" width="10.42578125" style="11" customWidth="1"/>
    <col min="14348" max="14348" width="10.5703125" style="11" customWidth="1"/>
    <col min="14349" max="14349" width="11" style="11" customWidth="1"/>
    <col min="14350" max="14350" width="11.28515625" style="11" customWidth="1"/>
    <col min="14351" max="14351" width="10.42578125" style="11" customWidth="1"/>
    <col min="14352" max="14590" width="9.140625" style="11"/>
    <col min="14591" max="14591" width="0" style="11" hidden="1" customWidth="1"/>
    <col min="14592" max="14592" width="0.7109375" style="11" customWidth="1"/>
    <col min="14593" max="14593" width="32.42578125" style="11" customWidth="1"/>
    <col min="14594" max="14594" width="32.140625" style="11" customWidth="1"/>
    <col min="14595" max="14595" width="14.5703125" style="11" customWidth="1"/>
    <col min="14596" max="14597" width="11.5703125" style="11" customWidth="1"/>
    <col min="14598" max="14598" width="11.85546875" style="11" customWidth="1"/>
    <col min="14599" max="14599" width="12.28515625" style="11" customWidth="1"/>
    <col min="14600" max="14600" width="10.28515625" style="11" customWidth="1"/>
    <col min="14601" max="14601" width="10.5703125" style="11" customWidth="1"/>
    <col min="14602" max="14602" width="10" style="11" customWidth="1"/>
    <col min="14603" max="14603" width="10.42578125" style="11" customWidth="1"/>
    <col min="14604" max="14604" width="10.5703125" style="11" customWidth="1"/>
    <col min="14605" max="14605" width="11" style="11" customWidth="1"/>
    <col min="14606" max="14606" width="11.28515625" style="11" customWidth="1"/>
    <col min="14607" max="14607" width="10.42578125" style="11" customWidth="1"/>
    <col min="14608" max="14846" width="9.140625" style="11"/>
    <col min="14847" max="14847" width="0" style="11" hidden="1" customWidth="1"/>
    <col min="14848" max="14848" width="0.7109375" style="11" customWidth="1"/>
    <col min="14849" max="14849" width="32.42578125" style="11" customWidth="1"/>
    <col min="14850" max="14850" width="32.140625" style="11" customWidth="1"/>
    <col min="14851" max="14851" width="14.5703125" style="11" customWidth="1"/>
    <col min="14852" max="14853" width="11.5703125" style="11" customWidth="1"/>
    <col min="14854" max="14854" width="11.85546875" style="11" customWidth="1"/>
    <col min="14855" max="14855" width="12.28515625" style="11" customWidth="1"/>
    <col min="14856" max="14856" width="10.28515625" style="11" customWidth="1"/>
    <col min="14857" max="14857" width="10.5703125" style="11" customWidth="1"/>
    <col min="14858" max="14858" width="10" style="11" customWidth="1"/>
    <col min="14859" max="14859" width="10.42578125" style="11" customWidth="1"/>
    <col min="14860" max="14860" width="10.5703125" style="11" customWidth="1"/>
    <col min="14861" max="14861" width="11" style="11" customWidth="1"/>
    <col min="14862" max="14862" width="11.28515625" style="11" customWidth="1"/>
    <col min="14863" max="14863" width="10.42578125" style="11" customWidth="1"/>
    <col min="14864" max="15102" width="9.140625" style="11"/>
    <col min="15103" max="15103" width="0" style="11" hidden="1" customWidth="1"/>
    <col min="15104" max="15104" width="0.7109375" style="11" customWidth="1"/>
    <col min="15105" max="15105" width="32.42578125" style="11" customWidth="1"/>
    <col min="15106" max="15106" width="32.140625" style="11" customWidth="1"/>
    <col min="15107" max="15107" width="14.5703125" style="11" customWidth="1"/>
    <col min="15108" max="15109" width="11.5703125" style="11" customWidth="1"/>
    <col min="15110" max="15110" width="11.85546875" style="11" customWidth="1"/>
    <col min="15111" max="15111" width="12.28515625" style="11" customWidth="1"/>
    <col min="15112" max="15112" width="10.28515625" style="11" customWidth="1"/>
    <col min="15113" max="15113" width="10.5703125" style="11" customWidth="1"/>
    <col min="15114" max="15114" width="10" style="11" customWidth="1"/>
    <col min="15115" max="15115" width="10.42578125" style="11" customWidth="1"/>
    <col min="15116" max="15116" width="10.5703125" style="11" customWidth="1"/>
    <col min="15117" max="15117" width="11" style="11" customWidth="1"/>
    <col min="15118" max="15118" width="11.28515625" style="11" customWidth="1"/>
    <col min="15119" max="15119" width="10.42578125" style="11" customWidth="1"/>
    <col min="15120" max="15358" width="9.140625" style="11"/>
    <col min="15359" max="15359" width="0" style="11" hidden="1" customWidth="1"/>
    <col min="15360" max="15360" width="0.7109375" style="11" customWidth="1"/>
    <col min="15361" max="15361" width="32.42578125" style="11" customWidth="1"/>
    <col min="15362" max="15362" width="32.140625" style="11" customWidth="1"/>
    <col min="15363" max="15363" width="14.5703125" style="11" customWidth="1"/>
    <col min="15364" max="15365" width="11.5703125" style="11" customWidth="1"/>
    <col min="15366" max="15366" width="11.85546875" style="11" customWidth="1"/>
    <col min="15367" max="15367" width="12.28515625" style="11" customWidth="1"/>
    <col min="15368" max="15368" width="10.28515625" style="11" customWidth="1"/>
    <col min="15369" max="15369" width="10.5703125" style="11" customWidth="1"/>
    <col min="15370" max="15370" width="10" style="11" customWidth="1"/>
    <col min="15371" max="15371" width="10.42578125" style="11" customWidth="1"/>
    <col min="15372" max="15372" width="10.5703125" style="11" customWidth="1"/>
    <col min="15373" max="15373" width="11" style="11" customWidth="1"/>
    <col min="15374" max="15374" width="11.28515625" style="11" customWidth="1"/>
    <col min="15375" max="15375" width="10.42578125" style="11" customWidth="1"/>
    <col min="15376" max="15614" width="9.140625" style="11"/>
    <col min="15615" max="15615" width="0" style="11" hidden="1" customWidth="1"/>
    <col min="15616" max="15616" width="0.7109375" style="11" customWidth="1"/>
    <col min="15617" max="15617" width="32.42578125" style="11" customWidth="1"/>
    <col min="15618" max="15618" width="32.140625" style="11" customWidth="1"/>
    <col min="15619" max="15619" width="14.5703125" style="11" customWidth="1"/>
    <col min="15620" max="15621" width="11.5703125" style="11" customWidth="1"/>
    <col min="15622" max="15622" width="11.85546875" style="11" customWidth="1"/>
    <col min="15623" max="15623" width="12.28515625" style="11" customWidth="1"/>
    <col min="15624" max="15624" width="10.28515625" style="11" customWidth="1"/>
    <col min="15625" max="15625" width="10.5703125" style="11" customWidth="1"/>
    <col min="15626" max="15626" width="10" style="11" customWidth="1"/>
    <col min="15627" max="15627" width="10.42578125" style="11" customWidth="1"/>
    <col min="15628" max="15628" width="10.5703125" style="11" customWidth="1"/>
    <col min="15629" max="15629" width="11" style="11" customWidth="1"/>
    <col min="15630" max="15630" width="11.28515625" style="11" customWidth="1"/>
    <col min="15631" max="15631" width="10.42578125" style="11" customWidth="1"/>
    <col min="15632" max="15870" width="9.140625" style="11"/>
    <col min="15871" max="15871" width="0" style="11" hidden="1" customWidth="1"/>
    <col min="15872" max="15872" width="0.7109375" style="11" customWidth="1"/>
    <col min="15873" max="15873" width="32.42578125" style="11" customWidth="1"/>
    <col min="15874" max="15874" width="32.140625" style="11" customWidth="1"/>
    <col min="15875" max="15875" width="14.5703125" style="11" customWidth="1"/>
    <col min="15876" max="15877" width="11.5703125" style="11" customWidth="1"/>
    <col min="15878" max="15878" width="11.85546875" style="11" customWidth="1"/>
    <col min="15879" max="15879" width="12.28515625" style="11" customWidth="1"/>
    <col min="15880" max="15880" width="10.28515625" style="11" customWidth="1"/>
    <col min="15881" max="15881" width="10.5703125" style="11" customWidth="1"/>
    <col min="15882" max="15882" width="10" style="11" customWidth="1"/>
    <col min="15883" max="15883" width="10.42578125" style="11" customWidth="1"/>
    <col min="15884" max="15884" width="10.5703125" style="11" customWidth="1"/>
    <col min="15885" max="15885" width="11" style="11" customWidth="1"/>
    <col min="15886" max="15886" width="11.28515625" style="11" customWidth="1"/>
    <col min="15887" max="15887" width="10.42578125" style="11" customWidth="1"/>
    <col min="15888" max="16126" width="9.140625" style="11"/>
    <col min="16127" max="16127" width="0" style="11" hidden="1" customWidth="1"/>
    <col min="16128" max="16128" width="0.7109375" style="11" customWidth="1"/>
    <col min="16129" max="16129" width="32.42578125" style="11" customWidth="1"/>
    <col min="16130" max="16130" width="32.140625" style="11" customWidth="1"/>
    <col min="16131" max="16131" width="14.5703125" style="11" customWidth="1"/>
    <col min="16132" max="16133" width="11.5703125" style="11" customWidth="1"/>
    <col min="16134" max="16134" width="11.85546875" style="11" customWidth="1"/>
    <col min="16135" max="16135" width="12.28515625" style="11" customWidth="1"/>
    <col min="16136" max="16136" width="10.28515625" style="11" customWidth="1"/>
    <col min="16137" max="16137" width="10.5703125" style="11" customWidth="1"/>
    <col min="16138" max="16138" width="10" style="11" customWidth="1"/>
    <col min="16139" max="16139" width="10.42578125" style="11" customWidth="1"/>
    <col min="16140" max="16140" width="10.5703125" style="11" customWidth="1"/>
    <col min="16141" max="16141" width="11" style="11" customWidth="1"/>
    <col min="16142" max="16142" width="11.28515625" style="11" customWidth="1"/>
    <col min="16143" max="16143" width="10.42578125" style="11" customWidth="1"/>
    <col min="16144" max="16384" width="9.140625" style="11"/>
  </cols>
  <sheetData>
    <row r="2" spans="3:7" x14ac:dyDescent="0.2">
      <c r="C2" s="37" t="s">
        <v>0</v>
      </c>
      <c r="D2" s="155" t="s">
        <v>143</v>
      </c>
      <c r="E2" s="155" t="s">
        <v>155</v>
      </c>
    </row>
    <row r="3" spans="3:7" x14ac:dyDescent="0.2">
      <c r="C3" s="13" t="s">
        <v>1</v>
      </c>
      <c r="D3" s="10" t="s">
        <v>2</v>
      </c>
      <c r="E3" s="10" t="s">
        <v>2</v>
      </c>
    </row>
    <row r="4" spans="3:7" x14ac:dyDescent="0.2">
      <c r="C4" s="13" t="s">
        <v>3</v>
      </c>
      <c r="D4" s="10">
        <v>6368</v>
      </c>
      <c r="E4" s="10">
        <v>6368</v>
      </c>
    </row>
    <row r="5" spans="3:7" x14ac:dyDescent="0.2">
      <c r="C5" s="13" t="s">
        <v>4</v>
      </c>
      <c r="D5" s="14">
        <v>315317</v>
      </c>
      <c r="E5" s="14">
        <v>315317</v>
      </c>
    </row>
    <row r="6" spans="3:7" ht="15" x14ac:dyDescent="0.2">
      <c r="C6" s="13" t="s">
        <v>50</v>
      </c>
      <c r="D6" s="14">
        <v>3516</v>
      </c>
      <c r="E6" s="14">
        <f>(1+Dashboard!C$4)*D6</f>
        <v>5274</v>
      </c>
    </row>
    <row r="7" spans="3:7" ht="15" x14ac:dyDescent="0.2">
      <c r="C7" s="13" t="s">
        <v>51</v>
      </c>
      <c r="D7" s="14">
        <v>4578</v>
      </c>
      <c r="E7" s="14">
        <f>(1+Dashboard!C$4)*D7</f>
        <v>6867</v>
      </c>
    </row>
    <row r="8" spans="3:7" x14ac:dyDescent="0.2">
      <c r="C8" s="13" t="s">
        <v>5</v>
      </c>
      <c r="D8" s="14">
        <f>D6+D7</f>
        <v>8094</v>
      </c>
      <c r="E8" s="14">
        <f>E6+E7</f>
        <v>12141</v>
      </c>
    </row>
    <row r="9" spans="3:7" x14ac:dyDescent="0.2">
      <c r="C9" s="13" t="s">
        <v>6</v>
      </c>
      <c r="D9" s="14">
        <v>15900</v>
      </c>
      <c r="E9" s="14">
        <f>(D9/D8)*E8</f>
        <v>23850</v>
      </c>
    </row>
    <row r="10" spans="3:7" x14ac:dyDescent="0.2">
      <c r="C10" s="13" t="s">
        <v>7</v>
      </c>
      <c r="D10" s="14">
        <v>3180</v>
      </c>
      <c r="E10" s="14">
        <f t="shared" ref="E10:E11" si="0">(D10/D9)*E9</f>
        <v>4770</v>
      </c>
    </row>
    <row r="11" spans="3:7" x14ac:dyDescent="0.2">
      <c r="C11" s="13" t="s">
        <v>8</v>
      </c>
      <c r="D11" s="14">
        <f>D9+D10</f>
        <v>19080</v>
      </c>
      <c r="E11" s="14">
        <f t="shared" si="0"/>
        <v>28620</v>
      </c>
    </row>
    <row r="12" spans="3:7" x14ac:dyDescent="0.2">
      <c r="C12" s="11" t="s">
        <v>9</v>
      </c>
      <c r="D12" s="14">
        <v>60</v>
      </c>
      <c r="E12" s="14">
        <v>60</v>
      </c>
    </row>
    <row r="13" spans="3:7" outlineLevel="1" x14ac:dyDescent="0.2">
      <c r="C13" s="13" t="s">
        <v>10</v>
      </c>
      <c r="D13" s="14">
        <f>D16/D15</f>
        <v>370.01142857142861</v>
      </c>
      <c r="E13" s="14">
        <f>E16/E15</f>
        <v>555.01714285714297</v>
      </c>
      <c r="F13" s="15"/>
      <c r="G13" s="15"/>
    </row>
    <row r="14" spans="3:7" outlineLevel="1" x14ac:dyDescent="0.2">
      <c r="C14" s="13" t="s">
        <v>11</v>
      </c>
      <c r="D14" s="14"/>
      <c r="E14" s="14"/>
      <c r="F14" s="15"/>
      <c r="G14" s="15"/>
    </row>
    <row r="15" spans="3:7" outlineLevel="1" x14ac:dyDescent="0.2">
      <c r="C15" s="13" t="s">
        <v>12</v>
      </c>
      <c r="D15" s="14">
        <v>35</v>
      </c>
      <c r="E15" s="14">
        <v>35</v>
      </c>
      <c r="F15" s="15"/>
      <c r="G15" s="15"/>
    </row>
    <row r="16" spans="3:7" outlineLevel="1" x14ac:dyDescent="0.2">
      <c r="C16" s="13" t="s">
        <v>13</v>
      </c>
      <c r="D16" s="14">
        <f>D8*2*0.8</f>
        <v>12950.400000000001</v>
      </c>
      <c r="E16" s="14">
        <f>E8*2*0.8</f>
        <v>19425.600000000002</v>
      </c>
      <c r="F16" s="15"/>
      <c r="G16" s="15"/>
    </row>
    <row r="17" spans="3:9" outlineLevel="1" x14ac:dyDescent="0.2">
      <c r="C17" s="13" t="s">
        <v>14</v>
      </c>
      <c r="D17" s="14">
        <v>5000000</v>
      </c>
      <c r="E17" s="14">
        <v>5000000</v>
      </c>
      <c r="F17" s="15"/>
      <c r="G17" s="15"/>
      <c r="H17" s="15"/>
    </row>
    <row r="18" spans="3:9" ht="15" outlineLevel="1" x14ac:dyDescent="0.2">
      <c r="C18" s="13" t="s">
        <v>117</v>
      </c>
      <c r="D18" s="14">
        <v>2500</v>
      </c>
      <c r="E18" s="14">
        <v>2500</v>
      </c>
      <c r="F18" s="15"/>
      <c r="G18" s="15"/>
      <c r="H18" s="15"/>
    </row>
    <row r="19" spans="3:9" ht="15" outlineLevel="1" x14ac:dyDescent="0.2">
      <c r="C19" s="13" t="s">
        <v>52</v>
      </c>
      <c r="D19" s="14">
        <v>4000</v>
      </c>
      <c r="E19" s="14">
        <v>4000</v>
      </c>
      <c r="F19" s="15"/>
      <c r="G19" s="15"/>
      <c r="H19" s="15"/>
    </row>
    <row r="20" spans="3:9" ht="15" outlineLevel="1" x14ac:dyDescent="0.2">
      <c r="C20" s="11" t="s">
        <v>49</v>
      </c>
      <c r="D20" s="14">
        <v>380</v>
      </c>
      <c r="E20" s="14">
        <v>380</v>
      </c>
      <c r="F20" s="15"/>
      <c r="G20" s="15"/>
      <c r="H20" s="15"/>
    </row>
    <row r="21" spans="3:9" outlineLevel="1" x14ac:dyDescent="0.2">
      <c r="C21" s="13" t="s">
        <v>15</v>
      </c>
      <c r="D21" s="19">
        <v>0.06</v>
      </c>
      <c r="E21" s="19">
        <v>0.06</v>
      </c>
      <c r="F21" s="15"/>
      <c r="G21" s="15"/>
      <c r="H21" s="15"/>
    </row>
    <row r="22" spans="3:9" outlineLevel="1" x14ac:dyDescent="0.2">
      <c r="C22" s="13" t="s">
        <v>16</v>
      </c>
      <c r="D22" s="19">
        <v>0.03</v>
      </c>
      <c r="E22" s="19">
        <v>0.03</v>
      </c>
      <c r="F22" s="15"/>
    </row>
    <row r="23" spans="3:9" outlineLevel="1" x14ac:dyDescent="0.2">
      <c r="C23" s="13" t="s">
        <v>17</v>
      </c>
      <c r="D23" s="18">
        <v>1.4999999999999999E-2</v>
      </c>
      <c r="E23" s="18">
        <v>1.4999999999999999E-2</v>
      </c>
    </row>
    <row r="24" spans="3:9" outlineLevel="1" x14ac:dyDescent="0.2">
      <c r="C24" s="13" t="s">
        <v>18</v>
      </c>
      <c r="D24" s="19">
        <v>1.4999999999999999E-2</v>
      </c>
      <c r="E24" s="19">
        <v>1.4999999999999999E-2</v>
      </c>
      <c r="F24" s="15"/>
    </row>
    <row r="25" spans="3:9" outlineLevel="1" x14ac:dyDescent="0.2">
      <c r="C25" s="13" t="s">
        <v>19</v>
      </c>
      <c r="D25" s="18">
        <v>0.03</v>
      </c>
      <c r="E25" s="18">
        <v>0.03</v>
      </c>
    </row>
    <row r="26" spans="3:9" outlineLevel="1" x14ac:dyDescent="0.2">
      <c r="C26" s="13" t="s">
        <v>20</v>
      </c>
      <c r="D26" s="17">
        <v>0.05</v>
      </c>
      <c r="E26" s="17">
        <v>0.05</v>
      </c>
    </row>
    <row r="27" spans="3:9" outlineLevel="1" x14ac:dyDescent="0.2">
      <c r="C27" s="148"/>
      <c r="D27" s="149"/>
      <c r="E27" s="105"/>
    </row>
    <row r="28" spans="3:9" outlineLevel="1" x14ac:dyDescent="0.2">
      <c r="C28" s="148"/>
      <c r="D28" s="150"/>
      <c r="E28" s="14"/>
    </row>
    <row r="29" spans="3:9" x14ac:dyDescent="0.2">
      <c r="D29" s="28"/>
      <c r="G29" s="15"/>
      <c r="H29" s="15"/>
      <c r="I29" s="15"/>
    </row>
    <row r="30" spans="3:9" x14ac:dyDescent="0.2">
      <c r="C30" s="106" t="s">
        <v>21</v>
      </c>
      <c r="D30" s="110" t="s">
        <v>22</v>
      </c>
      <c r="E30" s="107" t="s">
        <v>70</v>
      </c>
      <c r="F30" s="112">
        <v>1</v>
      </c>
      <c r="G30" s="111">
        <v>0.79749999999999999</v>
      </c>
      <c r="H30" s="15"/>
      <c r="I30" s="15"/>
    </row>
    <row r="31" spans="3:9" x14ac:dyDescent="0.2">
      <c r="C31" s="8" t="s">
        <v>57</v>
      </c>
      <c r="D31" s="14"/>
      <c r="E31" s="15"/>
      <c r="F31" s="116">
        <f>F30*D17*D8/1000</f>
        <v>40470000</v>
      </c>
      <c r="G31" s="116">
        <f>F31*G$30</f>
        <v>32274825</v>
      </c>
      <c r="H31" s="15"/>
      <c r="I31" s="15"/>
    </row>
    <row r="32" spans="3:9" x14ac:dyDescent="0.2">
      <c r="C32" s="8" t="s">
        <v>140</v>
      </c>
      <c r="E32" s="15"/>
      <c r="F32" s="15">
        <v>0</v>
      </c>
      <c r="G32" s="15">
        <f t="shared" ref="G32:G65" si="1">F32*G$30</f>
        <v>0</v>
      </c>
      <c r="H32" s="15"/>
      <c r="I32" s="15"/>
    </row>
    <row r="33" spans="3:9" x14ac:dyDescent="0.2">
      <c r="C33" s="8" t="s">
        <v>58</v>
      </c>
      <c r="D33" s="17">
        <f>D21</f>
        <v>0.06</v>
      </c>
      <c r="E33" s="15"/>
      <c r="F33" s="15">
        <f>F31*D33</f>
        <v>2428200</v>
      </c>
      <c r="G33" s="15">
        <f t="shared" si="1"/>
        <v>1936489.5</v>
      </c>
      <c r="H33" s="15"/>
      <c r="I33" s="15"/>
    </row>
    <row r="34" spans="3:9" x14ac:dyDescent="0.2">
      <c r="C34" s="8" t="s">
        <v>151</v>
      </c>
      <c r="D34" s="17"/>
      <c r="E34" s="15"/>
      <c r="F34" s="15"/>
      <c r="G34" s="15">
        <f t="shared" si="1"/>
        <v>0</v>
      </c>
      <c r="H34" s="15"/>
      <c r="I34" s="15"/>
    </row>
    <row r="35" spans="3:9" x14ac:dyDescent="0.2">
      <c r="C35" s="8" t="s">
        <v>59</v>
      </c>
      <c r="D35" s="18">
        <v>0.01</v>
      </c>
      <c r="E35" s="15"/>
      <c r="F35" s="15">
        <f>F31*D35</f>
        <v>404700</v>
      </c>
      <c r="G35" s="15">
        <f t="shared" si="1"/>
        <v>322748.25</v>
      </c>
      <c r="H35" s="15"/>
      <c r="I35" s="15"/>
    </row>
    <row r="36" spans="3:9" x14ac:dyDescent="0.2">
      <c r="C36" s="33" t="s">
        <v>60</v>
      </c>
      <c r="D36" s="34"/>
      <c r="E36" s="31"/>
      <c r="F36" s="32">
        <f>SUM(F31:F35)</f>
        <v>43302900</v>
      </c>
      <c r="G36" s="32">
        <f t="shared" si="1"/>
        <v>34534062.75</v>
      </c>
      <c r="H36" s="15"/>
      <c r="I36" s="15"/>
    </row>
    <row r="37" spans="3:9" x14ac:dyDescent="0.2">
      <c r="C37" s="8" t="s">
        <v>61</v>
      </c>
      <c r="D37" s="14">
        <v>380</v>
      </c>
      <c r="E37" s="15">
        <f>E11+(E16/2)</f>
        <v>38332.800000000003</v>
      </c>
      <c r="F37" s="15">
        <f>E37*D37</f>
        <v>14566464.000000002</v>
      </c>
      <c r="G37" s="15">
        <f t="shared" si="1"/>
        <v>11616755.040000001</v>
      </c>
      <c r="H37" s="15"/>
      <c r="I37" s="15"/>
    </row>
    <row r="38" spans="3:9" x14ac:dyDescent="0.2">
      <c r="C38" s="8" t="s">
        <v>62</v>
      </c>
      <c r="D38" s="18">
        <v>0.03</v>
      </c>
      <c r="E38" s="15">
        <f>F41+F42</f>
        <v>163044000</v>
      </c>
      <c r="F38" s="15">
        <f>E38*D38</f>
        <v>4891320</v>
      </c>
      <c r="G38" s="15">
        <f t="shared" si="1"/>
        <v>3900827.6999999997</v>
      </c>
      <c r="H38" s="15"/>
      <c r="I38" s="15"/>
    </row>
    <row r="39" spans="3:9" x14ac:dyDescent="0.2">
      <c r="C39" s="8" t="s">
        <v>63</v>
      </c>
      <c r="D39" s="18">
        <v>0.02</v>
      </c>
      <c r="E39" s="15">
        <f>E38</f>
        <v>163044000</v>
      </c>
      <c r="F39" s="15">
        <f>D39*E39</f>
        <v>3260880</v>
      </c>
      <c r="G39" s="15">
        <f t="shared" si="1"/>
        <v>2600551.7999999998</v>
      </c>
      <c r="H39" s="15"/>
      <c r="I39" s="15"/>
    </row>
    <row r="40" spans="3:9" x14ac:dyDescent="0.2">
      <c r="C40" s="8" t="s">
        <v>64</v>
      </c>
      <c r="D40" s="14">
        <v>1</v>
      </c>
      <c r="E40" s="15"/>
      <c r="F40" s="15">
        <f>750000</f>
        <v>750000</v>
      </c>
      <c r="G40" s="15">
        <f t="shared" si="1"/>
        <v>598125</v>
      </c>
      <c r="H40" s="15"/>
      <c r="I40" s="15"/>
    </row>
    <row r="41" spans="3:9" x14ac:dyDescent="0.2">
      <c r="C41" s="8" t="s">
        <v>65</v>
      </c>
      <c r="D41" s="14">
        <f>D18</f>
        <v>2500</v>
      </c>
      <c r="E41" s="15">
        <f>E16</f>
        <v>19425.600000000002</v>
      </c>
      <c r="F41" s="15">
        <f>E41*D41</f>
        <v>48564000.000000007</v>
      </c>
      <c r="G41" s="15">
        <f t="shared" si="1"/>
        <v>38729790.000000007</v>
      </c>
      <c r="H41" s="15"/>
      <c r="I41" s="15"/>
    </row>
    <row r="42" spans="3:9" x14ac:dyDescent="0.2">
      <c r="C42" s="8" t="s">
        <v>66</v>
      </c>
      <c r="D42" s="14">
        <v>4000</v>
      </c>
      <c r="E42" s="15">
        <f>E11</f>
        <v>28620</v>
      </c>
      <c r="F42" s="15">
        <f>E42*D42</f>
        <v>114480000</v>
      </c>
      <c r="G42" s="15">
        <f t="shared" si="1"/>
        <v>91297800</v>
      </c>
      <c r="H42" s="15"/>
      <c r="I42" s="15"/>
    </row>
    <row r="43" spans="3:9" x14ac:dyDescent="0.2">
      <c r="C43" s="33" t="s">
        <v>67</v>
      </c>
      <c r="D43" s="34"/>
      <c r="E43" s="31"/>
      <c r="F43" s="32">
        <f>SUM(F37:F42)</f>
        <v>186512664</v>
      </c>
      <c r="G43" s="32">
        <f t="shared" si="1"/>
        <v>148743849.53999999</v>
      </c>
      <c r="H43" s="15"/>
      <c r="I43" s="15"/>
    </row>
    <row r="44" spans="3:9" x14ac:dyDescent="0.2">
      <c r="C44" s="33" t="s">
        <v>68</v>
      </c>
      <c r="D44" s="35"/>
      <c r="E44" s="32"/>
      <c r="F44" s="32">
        <f>F43+F36</f>
        <v>229815564</v>
      </c>
      <c r="G44" s="32">
        <f t="shared" si="1"/>
        <v>183277912.28999999</v>
      </c>
      <c r="H44" s="15"/>
      <c r="I44" s="15"/>
    </row>
    <row r="45" spans="3:9" x14ac:dyDescent="0.2">
      <c r="C45" s="8" t="s">
        <v>56</v>
      </c>
      <c r="D45" s="17">
        <f>D22</f>
        <v>0.03</v>
      </c>
      <c r="E45" s="15">
        <f>F43</f>
        <v>186512664</v>
      </c>
      <c r="F45" s="15">
        <f>E45*D45</f>
        <v>5595379.9199999999</v>
      </c>
      <c r="G45" s="15">
        <f t="shared" si="1"/>
        <v>4462315.4862000002</v>
      </c>
      <c r="H45" s="15"/>
      <c r="I45" s="15"/>
    </row>
    <row r="46" spans="3:9" x14ac:dyDescent="0.2">
      <c r="C46" s="36" t="s">
        <v>55</v>
      </c>
      <c r="D46" s="35"/>
      <c r="E46" s="32"/>
      <c r="F46" s="32">
        <f>F45+F44</f>
        <v>235410943.91999999</v>
      </c>
      <c r="G46" s="32">
        <f t="shared" si="1"/>
        <v>187740227.7762</v>
      </c>
      <c r="H46" s="15"/>
      <c r="I46" s="15"/>
    </row>
    <row r="47" spans="3:9" x14ac:dyDescent="0.2">
      <c r="C47" s="8" t="s">
        <v>54</v>
      </c>
      <c r="D47" s="19">
        <f>D26</f>
        <v>0.05</v>
      </c>
      <c r="E47" s="15">
        <f>F58</f>
        <v>364462621.0714286</v>
      </c>
      <c r="F47" s="15">
        <f>D47*E47</f>
        <v>18223131.053571429</v>
      </c>
      <c r="G47" s="15">
        <f t="shared" si="1"/>
        <v>14532947.015223214</v>
      </c>
      <c r="H47" s="15"/>
      <c r="I47" s="15"/>
    </row>
    <row r="48" spans="3:9" x14ac:dyDescent="0.2">
      <c r="C48" s="27" t="s">
        <v>69</v>
      </c>
      <c r="D48" s="19">
        <f>D22</f>
        <v>0.03</v>
      </c>
      <c r="E48" s="15">
        <f>E47</f>
        <v>364462621.0714286</v>
      </c>
      <c r="F48" s="15">
        <f>E48*D48</f>
        <v>10933878.632142857</v>
      </c>
      <c r="G48" s="15">
        <f t="shared" si="1"/>
        <v>8719768.2091339286</v>
      </c>
      <c r="H48" s="15"/>
      <c r="I48" s="15"/>
    </row>
    <row r="49" spans="3:15" x14ac:dyDescent="0.2">
      <c r="C49" s="27" t="s">
        <v>23</v>
      </c>
      <c r="D49" s="105">
        <f>D24</f>
        <v>1.4999999999999999E-2</v>
      </c>
      <c r="E49" s="15">
        <f>E48</f>
        <v>364462621.0714286</v>
      </c>
      <c r="F49" s="15">
        <f>E49*D49</f>
        <v>5466939.3160714284</v>
      </c>
      <c r="G49" s="15">
        <f t="shared" si="1"/>
        <v>4359884.1045669643</v>
      </c>
      <c r="H49" s="15"/>
      <c r="I49" s="15"/>
    </row>
    <row r="50" spans="3:15" x14ac:dyDescent="0.2">
      <c r="C50" s="29" t="s">
        <v>53</v>
      </c>
      <c r="D50" s="30"/>
      <c r="E50" s="31"/>
      <c r="F50" s="32">
        <f>SUM(F46:F49)</f>
        <v>270034892.92178571</v>
      </c>
      <c r="G50" s="32">
        <f t="shared" si="1"/>
        <v>215352827.10512412</v>
      </c>
      <c r="H50" s="15"/>
      <c r="I50" s="15"/>
    </row>
    <row r="51" spans="3:15" x14ac:dyDescent="0.2">
      <c r="H51" s="15"/>
      <c r="I51" s="15"/>
    </row>
    <row r="53" spans="3:15" x14ac:dyDescent="0.2">
      <c r="C53" s="106" t="s">
        <v>72</v>
      </c>
      <c r="D53" s="107" t="s">
        <v>24</v>
      </c>
      <c r="E53" s="108" t="s">
        <v>113</v>
      </c>
      <c r="F53" s="109">
        <f>F30</f>
        <v>1</v>
      </c>
      <c r="G53" s="109">
        <f t="shared" si="1"/>
        <v>0.79749999999999999</v>
      </c>
    </row>
    <row r="54" spans="3:15" x14ac:dyDescent="0.2">
      <c r="C54" s="38" t="s">
        <v>25</v>
      </c>
      <c r="D54" s="14">
        <f>(Dashboard!C7*E8)</f>
        <v>4249.3499999999995</v>
      </c>
      <c r="E54" s="14">
        <f>Dashboard!C6</f>
        <v>18000</v>
      </c>
      <c r="F54" s="14">
        <f>$D54*$E54</f>
        <v>76488299.999999985</v>
      </c>
      <c r="G54" s="14">
        <f t="shared" si="1"/>
        <v>60999419.249999985</v>
      </c>
    </row>
    <row r="55" spans="3:15" x14ac:dyDescent="0.2">
      <c r="C55" s="38" t="s">
        <v>26</v>
      </c>
      <c r="D55" s="14">
        <f>(E11-D54)</f>
        <v>24370.65</v>
      </c>
      <c r="E55" s="14">
        <f>Dashboard!C9</f>
        <v>10450</v>
      </c>
      <c r="F55" s="14">
        <f>$D55*$E55</f>
        <v>254673292.50000003</v>
      </c>
      <c r="G55" s="14">
        <f t="shared" si="1"/>
        <v>203101950.76875001</v>
      </c>
    </row>
    <row r="56" spans="3:15" x14ac:dyDescent="0.2">
      <c r="C56" s="38" t="s">
        <v>27</v>
      </c>
      <c r="D56" s="14">
        <f>D13*(1+Dashboard!C13)</f>
        <v>370.01142857142861</v>
      </c>
      <c r="E56" s="14">
        <f>Dashboard!C11</f>
        <v>90000</v>
      </c>
      <c r="F56" s="14">
        <f>$D56*$E56</f>
        <v>33301028.571428575</v>
      </c>
      <c r="G56" s="14">
        <f t="shared" si="1"/>
        <v>26557570.285714287</v>
      </c>
    </row>
    <row r="57" spans="3:15" x14ac:dyDescent="0.2">
      <c r="C57" s="38" t="s">
        <v>28</v>
      </c>
      <c r="D57" s="14">
        <v>0</v>
      </c>
      <c r="E57" s="14">
        <f>Dashboard!C14</f>
        <v>50000</v>
      </c>
      <c r="F57" s="14">
        <f>D57*E57</f>
        <v>0</v>
      </c>
      <c r="G57" s="14">
        <f t="shared" si="1"/>
        <v>0</v>
      </c>
    </row>
    <row r="58" spans="3:15" x14ac:dyDescent="0.2">
      <c r="C58" s="31" t="s">
        <v>73</v>
      </c>
      <c r="D58" s="34"/>
      <c r="E58" s="34"/>
      <c r="F58" s="34">
        <f>SUM(F54:F57)</f>
        <v>364462621.0714286</v>
      </c>
      <c r="G58" s="34">
        <f t="shared" si="1"/>
        <v>290658940.30446428</v>
      </c>
      <c r="H58" s="20"/>
      <c r="I58" s="20"/>
    </row>
    <row r="59" spans="3:15" x14ac:dyDescent="0.2">
      <c r="H59" s="21"/>
      <c r="I59" s="21"/>
      <c r="J59" s="15"/>
      <c r="K59" s="15"/>
      <c r="L59" s="15"/>
      <c r="M59" s="15"/>
      <c r="N59" s="15"/>
      <c r="O59" s="15"/>
    </row>
    <row r="60" spans="3:15" x14ac:dyDescent="0.2">
      <c r="D60" s="22"/>
      <c r="H60" s="15"/>
      <c r="I60" s="15"/>
      <c r="J60" s="15"/>
      <c r="K60" s="15"/>
      <c r="L60" s="15"/>
      <c r="M60" s="15"/>
      <c r="N60" s="15"/>
      <c r="O60" s="15"/>
    </row>
    <row r="61" spans="3:15" x14ac:dyDescent="0.2">
      <c r="C61" s="106" t="s">
        <v>74</v>
      </c>
      <c r="D61" s="113"/>
      <c r="E61" s="113"/>
      <c r="F61" s="111">
        <v>1</v>
      </c>
      <c r="G61" s="111">
        <f t="shared" si="1"/>
        <v>0.79749999999999999</v>
      </c>
      <c r="H61" s="15"/>
      <c r="I61" s="15"/>
      <c r="J61" s="15"/>
      <c r="K61" s="15"/>
      <c r="L61" s="15"/>
      <c r="M61" s="15"/>
      <c r="N61" s="15"/>
      <c r="O61" s="15"/>
    </row>
    <row r="62" spans="3:15" x14ac:dyDescent="0.2">
      <c r="C62" s="12" t="s">
        <v>73</v>
      </c>
      <c r="D62" s="11"/>
      <c r="F62" s="15">
        <f>F58</f>
        <v>364462621.0714286</v>
      </c>
      <c r="G62" s="15">
        <f t="shared" si="1"/>
        <v>290658940.30446428</v>
      </c>
      <c r="H62" s="15"/>
      <c r="I62" s="15"/>
      <c r="J62" s="15"/>
      <c r="K62" s="15"/>
      <c r="L62" s="15"/>
      <c r="M62" s="15"/>
      <c r="N62" s="15"/>
      <c r="O62" s="15"/>
    </row>
    <row r="63" spans="3:15" x14ac:dyDescent="0.2">
      <c r="C63" s="15" t="s">
        <v>53</v>
      </c>
      <c r="D63" s="11"/>
      <c r="F63" s="15">
        <f>F50</f>
        <v>270034892.92178571</v>
      </c>
      <c r="G63" s="15">
        <f t="shared" si="1"/>
        <v>215352827.10512412</v>
      </c>
      <c r="H63" s="15"/>
      <c r="I63" s="15"/>
      <c r="J63" s="15"/>
      <c r="K63" s="15"/>
      <c r="L63" s="15"/>
      <c r="M63" s="15"/>
      <c r="N63" s="15"/>
      <c r="O63" s="15"/>
    </row>
    <row r="64" spans="3:15" x14ac:dyDescent="0.2">
      <c r="C64" s="15" t="s">
        <v>75</v>
      </c>
      <c r="D64" s="11"/>
      <c r="F64" s="15">
        <f>F62-F63</f>
        <v>94427728.149642885</v>
      </c>
      <c r="G64" s="15">
        <f t="shared" si="1"/>
        <v>75306113.199340194</v>
      </c>
    </row>
    <row r="65" spans="3:12" x14ac:dyDescent="0.2">
      <c r="C65" s="16" t="s">
        <v>76</v>
      </c>
      <c r="D65" s="11"/>
      <c r="F65" s="151">
        <f>F64/F63</f>
        <v>0.34968713534733237</v>
      </c>
      <c r="G65" s="151">
        <f t="shared" si="1"/>
        <v>0.27887549043949755</v>
      </c>
    </row>
    <row r="66" spans="3:12" x14ac:dyDescent="0.2">
      <c r="G66" s="15"/>
    </row>
    <row r="69" spans="3:12" x14ac:dyDescent="0.2">
      <c r="C69" s="9"/>
      <c r="H69" s="15"/>
      <c r="I69" s="24"/>
    </row>
    <row r="70" spans="3:12" x14ac:dyDescent="0.2">
      <c r="C70" s="9"/>
      <c r="H70" s="15"/>
      <c r="I70" s="24"/>
    </row>
    <row r="71" spans="3:12" x14ac:dyDescent="0.2">
      <c r="H71" s="15"/>
      <c r="I71" s="24"/>
    </row>
    <row r="72" spans="3:12" x14ac:dyDescent="0.2">
      <c r="H72" s="15"/>
      <c r="I72" s="24"/>
    </row>
    <row r="73" spans="3:12" x14ac:dyDescent="0.2">
      <c r="H73" s="15"/>
      <c r="I73" s="24"/>
    </row>
    <row r="74" spans="3:12" x14ac:dyDescent="0.2">
      <c r="H74" s="15"/>
      <c r="I74" s="24"/>
    </row>
    <row r="75" spans="3:12" x14ac:dyDescent="0.2">
      <c r="H75" s="15"/>
      <c r="I75" s="24"/>
    </row>
    <row r="77" spans="3:12" x14ac:dyDescent="0.2">
      <c r="L77" s="24"/>
    </row>
    <row r="78" spans="3:12" x14ac:dyDescent="0.2">
      <c r="L78" s="15"/>
    </row>
    <row r="79" spans="3:12" x14ac:dyDescent="0.2">
      <c r="L79" s="15"/>
    </row>
    <row r="80" spans="3:12" x14ac:dyDescent="0.2">
      <c r="L80" s="15"/>
    </row>
    <row r="114" spans="1:13" x14ac:dyDescent="0.2">
      <c r="E114" s="23"/>
      <c r="F114" s="23"/>
    </row>
    <row r="115" spans="1:13" x14ac:dyDescent="0.2">
      <c r="E115" s="23"/>
      <c r="F115" s="23"/>
      <c r="G115" s="23"/>
    </row>
    <row r="116" spans="1:13" x14ac:dyDescent="0.2">
      <c r="E116" s="23"/>
      <c r="F116" s="23"/>
      <c r="G116" s="23"/>
    </row>
    <row r="117" spans="1:13" x14ac:dyDescent="0.2">
      <c r="E117" s="15"/>
      <c r="F117" s="15"/>
      <c r="G117" s="23"/>
    </row>
    <row r="119" spans="1:13" x14ac:dyDescent="0.2">
      <c r="E119" s="15"/>
    </row>
    <row r="120" spans="1:13" x14ac:dyDescent="0.2">
      <c r="E120" s="15"/>
      <c r="G120" s="15"/>
    </row>
    <row r="121" spans="1:13" x14ac:dyDescent="0.2">
      <c r="D121" s="14"/>
      <c r="E121" s="15"/>
      <c r="G121" s="15"/>
    </row>
    <row r="122" spans="1:13" x14ac:dyDescent="0.2">
      <c r="C122" s="25"/>
      <c r="D122" s="26"/>
      <c r="E122" s="25"/>
      <c r="F122" s="25"/>
      <c r="G122" s="15"/>
    </row>
    <row r="123" spans="1:13" x14ac:dyDescent="0.2">
      <c r="A123" s="25"/>
      <c r="B123" s="25"/>
      <c r="C123" s="25"/>
      <c r="D123" s="26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x14ac:dyDescent="0.2">
      <c r="A124" s="25"/>
      <c r="B124" s="25"/>
      <c r="C124" s="25"/>
      <c r="D124" s="26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 x14ac:dyDescent="0.2">
      <c r="A125" s="25"/>
      <c r="B125" s="25"/>
      <c r="C125" s="25"/>
      <c r="D125" s="26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">
      <c r="A126" s="25"/>
      <c r="B126" s="25"/>
      <c r="C126" s="25"/>
      <c r="D126" s="26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 x14ac:dyDescent="0.2">
      <c r="A127" s="25"/>
      <c r="B127" s="25"/>
      <c r="C127" s="25"/>
      <c r="D127" s="26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 x14ac:dyDescent="0.2">
      <c r="A128" s="25"/>
      <c r="B128" s="25"/>
      <c r="C128" s="25"/>
      <c r="D128" s="26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x14ac:dyDescent="0.2">
      <c r="A129" s="25"/>
      <c r="B129" s="25"/>
      <c r="C129" s="25"/>
      <c r="D129" s="26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 x14ac:dyDescent="0.2">
      <c r="A130" s="25"/>
      <c r="B130" s="25"/>
      <c r="C130" s="25"/>
      <c r="D130" s="26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 x14ac:dyDescent="0.2">
      <c r="A131" s="25"/>
      <c r="B131" s="25"/>
      <c r="C131" s="25"/>
      <c r="D131" s="26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">
      <c r="A132" s="25"/>
      <c r="B132" s="25"/>
      <c r="C132" s="25"/>
      <c r="D132" s="26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x14ac:dyDescent="0.2">
      <c r="A133" s="25"/>
      <c r="B133" s="25"/>
      <c r="C133" s="25"/>
      <c r="D133" s="26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x14ac:dyDescent="0.2">
      <c r="A134" s="25"/>
      <c r="B134" s="25"/>
      <c r="C134" s="25"/>
      <c r="D134" s="26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 x14ac:dyDescent="0.2">
      <c r="A135" s="25"/>
      <c r="B135" s="25"/>
      <c r="C135" s="25"/>
      <c r="D135" s="26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 x14ac:dyDescent="0.2">
      <c r="A136" s="25"/>
      <c r="B136" s="25"/>
      <c r="C136" s="25"/>
      <c r="D136" s="26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 x14ac:dyDescent="0.2">
      <c r="A137" s="25"/>
      <c r="B137" s="25"/>
      <c r="C137" s="25"/>
      <c r="D137" s="26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x14ac:dyDescent="0.2">
      <c r="A138" s="25"/>
      <c r="B138" s="25"/>
      <c r="C138" s="25"/>
      <c r="D138" s="26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3" x14ac:dyDescent="0.2">
      <c r="A139" s="25"/>
      <c r="B139" s="25"/>
      <c r="C139" s="25"/>
      <c r="D139" s="26"/>
      <c r="E139" s="25"/>
      <c r="F139" s="25"/>
      <c r="G139" s="25"/>
      <c r="H139" s="25"/>
      <c r="I139" s="25"/>
      <c r="J139" s="25"/>
      <c r="K139" s="25"/>
      <c r="L139" s="25"/>
      <c r="M139" s="25"/>
    </row>
    <row r="140" spans="1:13" x14ac:dyDescent="0.2">
      <c r="A140" s="25"/>
      <c r="B140" s="25"/>
      <c r="C140" s="25"/>
      <c r="D140" s="26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3" x14ac:dyDescent="0.2">
      <c r="A141" s="25"/>
      <c r="B141" s="25"/>
      <c r="C141" s="25"/>
      <c r="D141" s="26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">
      <c r="A142" s="25"/>
      <c r="B142" s="25"/>
      <c r="C142" s="25"/>
      <c r="D142" s="26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3" x14ac:dyDescent="0.2">
      <c r="A143" s="25"/>
      <c r="B143" s="25"/>
      <c r="C143" s="25"/>
      <c r="D143" s="26"/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3" x14ac:dyDescent="0.2">
      <c r="A144" s="25"/>
      <c r="B144" s="25"/>
      <c r="C144" s="25"/>
      <c r="D144" s="26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">
      <c r="A145" s="25"/>
      <c r="B145" s="25"/>
      <c r="C145" s="25"/>
      <c r="D145" s="26"/>
      <c r="E145" s="25"/>
      <c r="F145" s="25"/>
      <c r="G145" s="25"/>
      <c r="H145" s="25"/>
      <c r="I145" s="25"/>
      <c r="J145" s="25"/>
      <c r="K145" s="25"/>
      <c r="L145" s="25"/>
      <c r="M145" s="25"/>
    </row>
    <row r="146" spans="1:13" x14ac:dyDescent="0.2">
      <c r="A146" s="25"/>
      <c r="B146" s="25"/>
      <c r="C146" s="25"/>
      <c r="D146" s="26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 x14ac:dyDescent="0.2">
      <c r="A147" s="25"/>
      <c r="B147" s="25"/>
      <c r="C147" s="25"/>
      <c r="D147" s="26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">
      <c r="A148" s="25"/>
      <c r="B148" s="25"/>
      <c r="C148" s="25"/>
      <c r="D148" s="26"/>
      <c r="E148" s="25"/>
      <c r="F148" s="25"/>
      <c r="G148" s="25"/>
      <c r="H148" s="25"/>
      <c r="I148" s="25"/>
      <c r="J148" s="25"/>
      <c r="K148" s="25"/>
      <c r="L148" s="25"/>
      <c r="M148" s="25"/>
    </row>
    <row r="149" spans="1:13" x14ac:dyDescent="0.2">
      <c r="A149" s="25"/>
      <c r="B149" s="25"/>
      <c r="C149" s="25"/>
      <c r="D149" s="26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 x14ac:dyDescent="0.2">
      <c r="A150" s="25"/>
      <c r="B150" s="25"/>
      <c r="C150" s="25"/>
      <c r="D150" s="26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 x14ac:dyDescent="0.2">
      <c r="A151" s="25"/>
      <c r="B151" s="25"/>
      <c r="G151" s="25"/>
      <c r="H151" s="25"/>
      <c r="I151" s="25"/>
      <c r="J151" s="25"/>
      <c r="K151" s="25"/>
      <c r="L151" s="25"/>
      <c r="M151" s="25"/>
    </row>
    <row r="152" spans="1:13" x14ac:dyDescent="0.2">
      <c r="G152" s="15"/>
      <c r="H152" s="15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G61"/>
  <sheetViews>
    <sheetView workbookViewId="0">
      <selection activeCell="D19" sqref="D19"/>
    </sheetView>
    <sheetView workbookViewId="1">
      <selection activeCell="D38" sqref="D38"/>
    </sheetView>
  </sheetViews>
  <sheetFormatPr defaultColWidth="9.140625" defaultRowHeight="12.75" x14ac:dyDescent="0.2"/>
  <cols>
    <col min="1" max="1" width="3.7109375" style="39" customWidth="1"/>
    <col min="2" max="2" width="32.7109375" style="39" customWidth="1"/>
    <col min="3" max="4" width="18.42578125" style="45" customWidth="1"/>
    <col min="5" max="5" width="15.28515625" style="39" bestFit="1" customWidth="1"/>
    <col min="6" max="7" width="14.28515625" style="39" bestFit="1" customWidth="1"/>
    <col min="8" max="16384" width="9.140625" style="39"/>
  </cols>
  <sheetData>
    <row r="1" spans="2:6" x14ac:dyDescent="0.2">
      <c r="B1" s="44" t="s">
        <v>119</v>
      </c>
    </row>
    <row r="2" spans="2:6" x14ac:dyDescent="0.2">
      <c r="B2" s="39" t="s">
        <v>29</v>
      </c>
      <c r="C2" s="102">
        <f>Dashboard!C2</f>
        <v>3.63</v>
      </c>
    </row>
    <row r="3" spans="2:6" x14ac:dyDescent="0.2">
      <c r="C3" s="76"/>
    </row>
    <row r="4" spans="2:6" x14ac:dyDescent="0.2">
      <c r="C4" s="194" t="s">
        <v>114</v>
      </c>
      <c r="D4" s="194"/>
    </row>
    <row r="5" spans="2:6" x14ac:dyDescent="0.2">
      <c r="B5" s="93" t="s">
        <v>78</v>
      </c>
      <c r="C5" s="94" t="s">
        <v>31</v>
      </c>
      <c r="D5" s="94" t="s">
        <v>98</v>
      </c>
      <c r="E5" s="94"/>
    </row>
    <row r="6" spans="2:6" x14ac:dyDescent="0.2">
      <c r="B6" s="39" t="s">
        <v>77</v>
      </c>
      <c r="C6" s="69">
        <v>1</v>
      </c>
      <c r="D6" s="157">
        <f>'Base Case - Office &amp; Commercial'!G30</f>
        <v>0.79749999999999999</v>
      </c>
      <c r="E6" s="157">
        <f>Dashboard!E6</f>
        <v>0.85</v>
      </c>
    </row>
    <row r="7" spans="2:6" x14ac:dyDescent="0.2">
      <c r="B7" s="65" t="s">
        <v>122</v>
      </c>
      <c r="C7" s="70">
        <f>'Base Case - Office &amp; Commercial'!F31</f>
        <v>40470000</v>
      </c>
      <c r="D7" s="47">
        <f>C7*D6</f>
        <v>32274825</v>
      </c>
      <c r="E7" s="47">
        <f>D7*E$6</f>
        <v>27433601.25</v>
      </c>
    </row>
    <row r="8" spans="2:6" x14ac:dyDescent="0.2">
      <c r="B8" s="65" t="s">
        <v>123</v>
      </c>
      <c r="C8" s="70">
        <f>'Base Case - Office &amp; Commercial'!F33+'Base Case - Office &amp; Commercial'!F35+'Base Case - Office &amp; Commercial'!F34</f>
        <v>2832900</v>
      </c>
      <c r="D8" s="47">
        <f>C8*$D$6</f>
        <v>2259237.75</v>
      </c>
      <c r="E8" s="47">
        <f t="shared" ref="E8:E16" si="0">D8*E$6</f>
        <v>1920352.0874999999</v>
      </c>
    </row>
    <row r="9" spans="2:6" x14ac:dyDescent="0.2">
      <c r="B9" s="52" t="s">
        <v>120</v>
      </c>
      <c r="C9" s="71">
        <f>C8+C7</f>
        <v>43302900</v>
      </c>
      <c r="D9" s="50">
        <f>D8+D7</f>
        <v>34534062.75</v>
      </c>
      <c r="E9" s="50">
        <f t="shared" si="0"/>
        <v>29353953.337499999</v>
      </c>
      <c r="F9" s="42"/>
    </row>
    <row r="10" spans="2:6" x14ac:dyDescent="0.2">
      <c r="B10" s="51" t="s">
        <v>33</v>
      </c>
      <c r="C10" s="47">
        <f>'Base Case - Office &amp; Commercial'!F43</f>
        <v>186512664</v>
      </c>
      <c r="D10" s="47">
        <f t="shared" ref="D10:D14" si="1">C10*$D$6</f>
        <v>148743849.53999999</v>
      </c>
      <c r="E10" s="47">
        <f t="shared" si="0"/>
        <v>126432272.10899998</v>
      </c>
    </row>
    <row r="11" spans="2:6" x14ac:dyDescent="0.2">
      <c r="B11" s="51" t="s">
        <v>34</v>
      </c>
      <c r="C11" s="47">
        <f>'Base Case - Office &amp; Commercial'!F45</f>
        <v>5595379.9199999999</v>
      </c>
      <c r="D11" s="47">
        <f t="shared" si="1"/>
        <v>4462315.4862000002</v>
      </c>
      <c r="E11" s="47">
        <f t="shared" si="0"/>
        <v>3792968.1632699999</v>
      </c>
    </row>
    <row r="12" spans="2:6" x14ac:dyDescent="0.2">
      <c r="B12" s="51" t="s">
        <v>35</v>
      </c>
      <c r="C12" s="47">
        <f>'Base Case - Office &amp; Commercial'!F47</f>
        <v>18223131.053571429</v>
      </c>
      <c r="D12" s="47">
        <f t="shared" si="1"/>
        <v>14532947.015223214</v>
      </c>
      <c r="E12" s="47">
        <f t="shared" si="0"/>
        <v>12353004.962939732</v>
      </c>
    </row>
    <row r="13" spans="2:6" x14ac:dyDescent="0.2">
      <c r="B13" s="51" t="s">
        <v>36</v>
      </c>
      <c r="C13" s="47">
        <f>'Base Case - Office &amp; Commercial'!F48</f>
        <v>10933878.632142857</v>
      </c>
      <c r="D13" s="47">
        <f t="shared" si="1"/>
        <v>8719768.2091339286</v>
      </c>
      <c r="E13" s="47">
        <f t="shared" si="0"/>
        <v>7411802.9777638391</v>
      </c>
    </row>
    <row r="14" spans="2:6" x14ac:dyDescent="0.2">
      <c r="B14" s="51" t="s">
        <v>37</v>
      </c>
      <c r="C14" s="47">
        <f>'Base Case - Office &amp; Commercial'!F49</f>
        <v>5466939.3160714284</v>
      </c>
      <c r="D14" s="47">
        <f t="shared" si="1"/>
        <v>4359884.1045669643</v>
      </c>
      <c r="E14" s="47">
        <f t="shared" si="0"/>
        <v>3705901.4888819195</v>
      </c>
    </row>
    <row r="15" spans="2:6" x14ac:dyDescent="0.2">
      <c r="B15" s="52" t="s">
        <v>32</v>
      </c>
      <c r="C15" s="50">
        <f>SUM(C10:C14)</f>
        <v>226731992.92178568</v>
      </c>
      <c r="D15" s="50">
        <f>SUM(D10:D14)</f>
        <v>180818764.35512409</v>
      </c>
      <c r="E15" s="50">
        <f t="shared" si="0"/>
        <v>153695949.70185548</v>
      </c>
    </row>
    <row r="16" spans="2:6" x14ac:dyDescent="0.2">
      <c r="B16" s="98" t="s">
        <v>38</v>
      </c>
      <c r="C16" s="95">
        <f>C15+C9</f>
        <v>270034892.92178571</v>
      </c>
      <c r="D16" s="95">
        <f>D9+D15</f>
        <v>215352827.10512409</v>
      </c>
      <c r="E16" s="95">
        <f t="shared" si="0"/>
        <v>183049903.03935546</v>
      </c>
    </row>
    <row r="17" spans="2:7" x14ac:dyDescent="0.2">
      <c r="C17" s="48"/>
      <c r="D17" s="159"/>
    </row>
    <row r="18" spans="2:7" x14ac:dyDescent="0.2">
      <c r="C18" s="47"/>
      <c r="D18" s="48"/>
    </row>
    <row r="19" spans="2:7" x14ac:dyDescent="0.2">
      <c r="B19" s="93" t="s">
        <v>118</v>
      </c>
      <c r="C19" s="95"/>
      <c r="D19" s="96"/>
      <c r="E19" s="136"/>
    </row>
    <row r="20" spans="2:7" x14ac:dyDescent="0.2">
      <c r="B20" s="102" t="s">
        <v>71</v>
      </c>
      <c r="C20" s="121"/>
      <c r="D20" s="119"/>
      <c r="E20" s="119"/>
    </row>
    <row r="21" spans="2:7" x14ac:dyDescent="0.2">
      <c r="B21" s="120" t="s">
        <v>99</v>
      </c>
      <c r="C21" s="125">
        <f>C22/C16</f>
        <v>0.15</v>
      </c>
      <c r="D21" s="125">
        <f>D22/D16</f>
        <v>0.15000000000000008</v>
      </c>
      <c r="E21" s="125">
        <f>E22/E29</f>
        <v>0.15000000000000008</v>
      </c>
    </row>
    <row r="22" spans="2:7" x14ac:dyDescent="0.2">
      <c r="B22" s="51" t="s">
        <v>39</v>
      </c>
      <c r="C22" s="47">
        <f>C16-C25-C28</f>
        <v>40505233.938267857</v>
      </c>
      <c r="D22" s="47">
        <f>D16-D25-D28</f>
        <v>32302924.065768629</v>
      </c>
      <c r="E22" s="47">
        <f>D22*E6</f>
        <v>27457485.455903333</v>
      </c>
      <c r="F22" s="40"/>
      <c r="G22" s="40"/>
    </row>
    <row r="23" spans="2:7" x14ac:dyDescent="0.2">
      <c r="B23" s="152" t="s">
        <v>145</v>
      </c>
      <c r="C23" s="47"/>
      <c r="D23" s="47"/>
      <c r="E23" s="47"/>
      <c r="F23" s="40"/>
      <c r="G23" s="40"/>
    </row>
    <row r="24" spans="2:7" x14ac:dyDescent="0.2">
      <c r="B24" s="51" t="s">
        <v>147</v>
      </c>
      <c r="C24" s="46">
        <v>0.6</v>
      </c>
      <c r="D24" s="46">
        <f>C24</f>
        <v>0.6</v>
      </c>
      <c r="E24" s="46"/>
      <c r="F24" s="40"/>
      <c r="G24" s="40"/>
    </row>
    <row r="25" spans="2:7" x14ac:dyDescent="0.2">
      <c r="B25" s="51" t="s">
        <v>80</v>
      </c>
      <c r="C25" s="47">
        <f>C24*C7</f>
        <v>24282000</v>
      </c>
      <c r="D25" s="47">
        <f>D24*D7</f>
        <v>19364895</v>
      </c>
      <c r="E25" s="47">
        <f>E6*D25</f>
        <v>16460160.75</v>
      </c>
      <c r="F25" s="40"/>
      <c r="G25" s="40"/>
    </row>
    <row r="26" spans="2:7" x14ac:dyDescent="0.2">
      <c r="B26" s="102" t="s">
        <v>146</v>
      </c>
      <c r="C26" s="119"/>
      <c r="D26" s="46"/>
      <c r="E26" s="46"/>
    </row>
    <row r="27" spans="2:7" x14ac:dyDescent="0.2">
      <c r="B27" s="51" t="s">
        <v>153</v>
      </c>
      <c r="C27" s="46">
        <f>Dashboard!E3</f>
        <v>0.85</v>
      </c>
      <c r="D27" s="46">
        <f>C27</f>
        <v>0.85</v>
      </c>
      <c r="E27" s="46"/>
    </row>
    <row r="28" spans="2:7" x14ac:dyDescent="0.2">
      <c r="B28" s="51" t="s">
        <v>80</v>
      </c>
      <c r="C28" s="47">
        <f>(C16*C27)-C25</f>
        <v>205247658.98351786</v>
      </c>
      <c r="D28" s="47">
        <f>(D16*D27)-D25</f>
        <v>163685008.03935546</v>
      </c>
      <c r="E28" s="47">
        <f>E6*D28</f>
        <v>139132256.83345214</v>
      </c>
      <c r="F28" s="40"/>
    </row>
    <row r="29" spans="2:7" x14ac:dyDescent="0.2">
      <c r="B29" s="97" t="s">
        <v>47</v>
      </c>
      <c r="C29" s="95">
        <f>C28+C22+C25</f>
        <v>270034892.92178571</v>
      </c>
      <c r="D29" s="95">
        <f>D28+D22+D25</f>
        <v>215352827.10512409</v>
      </c>
      <c r="E29" s="95">
        <f>E6*D29</f>
        <v>183049903.03935546</v>
      </c>
      <c r="F29" s="40"/>
    </row>
    <row r="30" spans="2:7" x14ac:dyDescent="0.2">
      <c r="B30" s="122"/>
      <c r="C30" s="121"/>
      <c r="D30" s="121"/>
      <c r="F30" s="40"/>
    </row>
    <row r="31" spans="2:7" x14ac:dyDescent="0.2">
      <c r="B31" s="53"/>
      <c r="C31" s="46"/>
      <c r="D31" s="47"/>
    </row>
    <row r="32" spans="2:7" x14ac:dyDescent="0.2">
      <c r="B32" s="93" t="s">
        <v>40</v>
      </c>
      <c r="C32" s="136">
        <v>1</v>
      </c>
      <c r="D32" s="175">
        <f>D6</f>
        <v>0.79749999999999999</v>
      </c>
      <c r="E32" s="175">
        <f>E6</f>
        <v>0.85</v>
      </c>
    </row>
    <row r="33" spans="2:5" x14ac:dyDescent="0.2">
      <c r="B33" s="51" t="s">
        <v>25</v>
      </c>
      <c r="C33" s="47">
        <f>'Base Case - Office &amp; Commercial'!F54</f>
        <v>76488299.999999985</v>
      </c>
      <c r="D33" s="47">
        <f>C33*D6</f>
        <v>60999419.249999985</v>
      </c>
      <c r="E33" s="47">
        <f>D33*E$32</f>
        <v>51849506.36249999</v>
      </c>
    </row>
    <row r="34" spans="2:5" x14ac:dyDescent="0.2">
      <c r="B34" s="51" t="s">
        <v>26</v>
      </c>
      <c r="C34" s="47">
        <f>'Base Case - Office &amp; Commercial'!F55</f>
        <v>254673292.50000003</v>
      </c>
      <c r="D34" s="47">
        <f>C34*D6</f>
        <v>203101950.76875001</v>
      </c>
      <c r="E34" s="47">
        <f t="shared" ref="E34:E36" si="2">D34*E$32</f>
        <v>172636658.1534375</v>
      </c>
    </row>
    <row r="35" spans="2:5" x14ac:dyDescent="0.2">
      <c r="B35" s="51" t="s">
        <v>27</v>
      </c>
      <c r="C35" s="47">
        <f>'Base Case - Office &amp; Commercial'!F56</f>
        <v>33301028.571428575</v>
      </c>
      <c r="D35" s="47">
        <f>C35*D6</f>
        <v>26557570.285714287</v>
      </c>
      <c r="E35" s="47">
        <f t="shared" si="2"/>
        <v>22573934.742857143</v>
      </c>
    </row>
    <row r="36" spans="2:5" x14ac:dyDescent="0.2">
      <c r="B36" s="97" t="s">
        <v>73</v>
      </c>
      <c r="C36" s="95">
        <f>SUM(C33:C35)</f>
        <v>364462621.0714286</v>
      </c>
      <c r="D36" s="95">
        <f>SUM(D33:D35)</f>
        <v>290658940.30446428</v>
      </c>
      <c r="E36" s="95">
        <f t="shared" si="2"/>
        <v>247060099.25879464</v>
      </c>
    </row>
    <row r="37" spans="2:5" x14ac:dyDescent="0.2">
      <c r="C37" s="47"/>
      <c r="D37" s="47"/>
      <c r="E37" s="47"/>
    </row>
    <row r="38" spans="2:5" x14ac:dyDescent="0.2">
      <c r="B38" s="98" t="s">
        <v>48</v>
      </c>
      <c r="C38" s="95">
        <f>C36-C16</f>
        <v>94427728.149642885</v>
      </c>
      <c r="D38" s="95">
        <f t="shared" ref="D38:E38" si="3">D36-D16</f>
        <v>75306113.199340194</v>
      </c>
      <c r="E38" s="95">
        <f t="shared" si="3"/>
        <v>64010196.219439179</v>
      </c>
    </row>
    <row r="39" spans="2:5" x14ac:dyDescent="0.2">
      <c r="C39" s="48"/>
      <c r="D39" s="46"/>
    </row>
    <row r="40" spans="2:5" x14ac:dyDescent="0.2">
      <c r="C40" s="48"/>
      <c r="D40" s="48"/>
    </row>
    <row r="41" spans="2:5" x14ac:dyDescent="0.2">
      <c r="C41" s="48"/>
    </row>
    <row r="42" spans="2:5" x14ac:dyDescent="0.2">
      <c r="C42" s="48"/>
      <c r="D42" s="48"/>
    </row>
    <row r="43" spans="2:5" x14ac:dyDescent="0.2">
      <c r="C43" s="48"/>
      <c r="D43" s="48"/>
    </row>
    <row r="44" spans="2:5" x14ac:dyDescent="0.2">
      <c r="C44" s="48"/>
    </row>
    <row r="45" spans="2:5" x14ac:dyDescent="0.2">
      <c r="C45" s="48"/>
    </row>
    <row r="46" spans="2:5" x14ac:dyDescent="0.2">
      <c r="C46" s="48"/>
      <c r="D46" s="48"/>
    </row>
    <row r="48" spans="2:5" x14ac:dyDescent="0.2">
      <c r="B48" s="43"/>
      <c r="C48" s="48"/>
      <c r="D48" s="48"/>
    </row>
    <row r="53" spans="2:4" x14ac:dyDescent="0.2">
      <c r="C53" s="48"/>
    </row>
    <row r="54" spans="2:4" x14ac:dyDescent="0.2">
      <c r="C54" s="48"/>
      <c r="D54" s="48"/>
    </row>
    <row r="56" spans="2:4" x14ac:dyDescent="0.2">
      <c r="B56" s="49"/>
    </row>
    <row r="57" spans="2:4" x14ac:dyDescent="0.2">
      <c r="B57" s="43"/>
      <c r="C57" s="48"/>
    </row>
    <row r="58" spans="2:4" x14ac:dyDescent="0.2">
      <c r="B58" s="43"/>
      <c r="C58" s="48"/>
      <c r="D58" s="48"/>
    </row>
    <row r="59" spans="2:4" x14ac:dyDescent="0.2">
      <c r="B59" s="43"/>
      <c r="C59" s="48"/>
      <c r="D59" s="48"/>
    </row>
    <row r="60" spans="2:4" x14ac:dyDescent="0.2">
      <c r="B60" s="43"/>
      <c r="C60" s="48"/>
      <c r="D60" s="48"/>
    </row>
    <row r="61" spans="2:4" x14ac:dyDescent="0.2">
      <c r="B61" s="43"/>
    </row>
  </sheetData>
  <mergeCells count="1">
    <mergeCell ref="C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L40"/>
  <sheetViews>
    <sheetView zoomScale="115" zoomScaleNormal="115" workbookViewId="0">
      <selection activeCell="C14" sqref="C14"/>
    </sheetView>
    <sheetView workbookViewId="1">
      <selection activeCell="I36" sqref="I36"/>
    </sheetView>
  </sheetViews>
  <sheetFormatPr defaultColWidth="9.140625" defaultRowHeight="12.75" x14ac:dyDescent="0.2"/>
  <cols>
    <col min="1" max="1" width="2.28515625" style="1" customWidth="1"/>
    <col min="2" max="2" width="43.42578125" style="2" customWidth="1"/>
    <col min="3" max="3" width="17" style="1" bestFit="1" customWidth="1"/>
    <col min="4" max="4" width="17.42578125" style="1" customWidth="1"/>
    <col min="5" max="6" width="14.140625" style="1" customWidth="1"/>
    <col min="7" max="7" width="14.28515625" style="1" customWidth="1"/>
    <col min="8" max="8" width="27.140625" style="1" bestFit="1" customWidth="1"/>
    <col min="9" max="9" width="14.28515625" style="7" customWidth="1"/>
    <col min="10" max="10" width="14.85546875" style="7" customWidth="1"/>
    <col min="11" max="11" width="13.7109375" style="7" customWidth="1"/>
    <col min="12" max="12" width="16.42578125" style="7" customWidth="1"/>
    <col min="13" max="16384" width="9.140625" style="1"/>
  </cols>
  <sheetData>
    <row r="2" spans="2:12" x14ac:dyDescent="0.2">
      <c r="B2" s="54" t="s">
        <v>132</v>
      </c>
    </row>
    <row r="3" spans="2:12" x14ac:dyDescent="0.2">
      <c r="B3" s="57" t="str">
        <f>'GSP Economics Overview'!B2</f>
        <v>Exchange Ratio</v>
      </c>
      <c r="C3" s="57">
        <f>Dashboard!C2</f>
        <v>3.63</v>
      </c>
    </row>
    <row r="4" spans="2:12" x14ac:dyDescent="0.2">
      <c r="B4" s="2" t="s">
        <v>42</v>
      </c>
      <c r="C4" s="75">
        <f>Dashboard!C28</f>
        <v>44569</v>
      </c>
    </row>
    <row r="5" spans="2:12" x14ac:dyDescent="0.2">
      <c r="B5" s="2" t="s">
        <v>133</v>
      </c>
      <c r="C5" s="74">
        <f>Dashboard!C31</f>
        <v>7.0000000000000007E-2</v>
      </c>
      <c r="D5" s="55"/>
      <c r="E5" s="55"/>
      <c r="F5" s="55"/>
    </row>
    <row r="6" spans="2:12" x14ac:dyDescent="0.2">
      <c r="B6" s="140" t="s">
        <v>134</v>
      </c>
      <c r="H6" s="59"/>
      <c r="I6" s="62"/>
      <c r="J6" s="182"/>
    </row>
    <row r="7" spans="2:12" x14ac:dyDescent="0.2">
      <c r="B7" s="61" t="s">
        <v>135</v>
      </c>
      <c r="C7" s="56">
        <f>'GSP Economics Overview'!D38</f>
        <v>75306113.199340194</v>
      </c>
      <c r="D7" s="160"/>
      <c r="L7" s="183"/>
    </row>
    <row r="8" spans="2:12" x14ac:dyDescent="0.2">
      <c r="B8" s="61" t="s">
        <v>161</v>
      </c>
      <c r="C8" s="56">
        <f>D28/0.85</f>
        <v>-32302924.065768614</v>
      </c>
      <c r="D8" s="6"/>
      <c r="J8" s="182"/>
      <c r="L8" s="184"/>
    </row>
    <row r="9" spans="2:12" x14ac:dyDescent="0.2">
      <c r="B9" s="61" t="s">
        <v>162</v>
      </c>
      <c r="C9" s="56">
        <f>-F28</f>
        <v>-3076080.6384822819</v>
      </c>
      <c r="D9" s="162"/>
      <c r="L9" s="184"/>
    </row>
    <row r="10" spans="2:12" x14ac:dyDescent="0.2">
      <c r="B10" s="61" t="s">
        <v>156</v>
      </c>
      <c r="C10" s="56">
        <f>C7+C8+C9</f>
        <v>39927108.4950893</v>
      </c>
      <c r="D10" s="161"/>
    </row>
    <row r="11" spans="2:12" x14ac:dyDescent="0.2">
      <c r="B11" s="61" t="s">
        <v>157</v>
      </c>
      <c r="C11" s="56">
        <f>C10*0.5</f>
        <v>19963554.24754465</v>
      </c>
      <c r="D11" s="160"/>
    </row>
    <row r="12" spans="2:12" x14ac:dyDescent="0.2">
      <c r="B12" s="61" t="s">
        <v>139</v>
      </c>
      <c r="C12" s="56">
        <f>0.7*C11</f>
        <v>13974487.973281255</v>
      </c>
      <c r="D12" s="163"/>
    </row>
    <row r="13" spans="2:12" x14ac:dyDescent="0.2">
      <c r="B13" s="176" t="s">
        <v>165</v>
      </c>
      <c r="C13" s="56">
        <f>(1600000+(1600000*0.07*E20))</f>
        <v>1856526.0273972603</v>
      </c>
      <c r="D13" s="163"/>
    </row>
    <row r="14" spans="2:12" x14ac:dyDescent="0.2">
      <c r="B14" s="61" t="s">
        <v>144</v>
      </c>
      <c r="C14" s="56">
        <f>C12-C13</f>
        <v>12117961.945883995</v>
      </c>
      <c r="D14" s="164"/>
      <c r="F14" s="164"/>
    </row>
    <row r="15" spans="2:12" x14ac:dyDescent="0.2">
      <c r="B15" s="61" t="s">
        <v>116</v>
      </c>
      <c r="C15" s="60">
        <f>XIRR(D32:D39,C32:C39)</f>
        <v>0.21568253636360168</v>
      </c>
      <c r="F15" s="164"/>
    </row>
    <row r="16" spans="2:12" x14ac:dyDescent="0.2">
      <c r="B16" s="54"/>
    </row>
    <row r="17" spans="2:12" x14ac:dyDescent="0.2">
      <c r="B17" s="54"/>
      <c r="G17" s="7"/>
    </row>
    <row r="18" spans="2:12" x14ac:dyDescent="0.2">
      <c r="B18" s="139" t="s">
        <v>137</v>
      </c>
      <c r="C18" s="88" t="s">
        <v>30</v>
      </c>
      <c r="D18" s="88" t="s">
        <v>41</v>
      </c>
      <c r="E18" s="88" t="s">
        <v>44</v>
      </c>
      <c r="F18" s="88" t="s">
        <v>46</v>
      </c>
      <c r="G18" s="3"/>
      <c r="H18" s="6"/>
      <c r="I18" s="5"/>
      <c r="L18" s="5"/>
    </row>
    <row r="19" spans="2:12" x14ac:dyDescent="0.2">
      <c r="B19" s="142" t="s">
        <v>168</v>
      </c>
      <c r="C19" s="77">
        <f>Dashboard!D14</f>
        <v>43678</v>
      </c>
      <c r="D19" s="78">
        <f>-Dashboard!G14</f>
        <v>-2086500</v>
      </c>
      <c r="E19" s="4">
        <f>(C$4-C19)/365</f>
        <v>2.441095890410959</v>
      </c>
      <c r="F19" s="3">
        <f>-D19*E19*C$5</f>
        <v>356534.26027397264</v>
      </c>
      <c r="G19" s="3"/>
      <c r="H19" s="142"/>
      <c r="I19" s="78"/>
      <c r="J19" s="78"/>
      <c r="K19" s="5"/>
      <c r="L19" s="5"/>
    </row>
    <row r="20" spans="2:12" x14ac:dyDescent="0.2">
      <c r="B20" s="142" t="s">
        <v>169</v>
      </c>
      <c r="C20" s="77">
        <f>Dashboard!D15</f>
        <v>43733</v>
      </c>
      <c r="D20" s="78">
        <f>-Dashboard!G15</f>
        <v>-8346000</v>
      </c>
      <c r="E20" s="4">
        <f>(C$4-C20)/365</f>
        <v>2.2904109589041095</v>
      </c>
      <c r="F20" s="3">
        <f t="shared" ref="F20:F27" si="0">-D20*E20*C$5</f>
        <v>1338103.890410959</v>
      </c>
      <c r="G20" s="3"/>
      <c r="H20" s="142"/>
      <c r="I20" s="78"/>
      <c r="J20" s="78"/>
      <c r="K20" s="5"/>
      <c r="L20" s="5"/>
    </row>
    <row r="21" spans="2:12" x14ac:dyDescent="0.2">
      <c r="B21" s="142" t="s">
        <v>166</v>
      </c>
      <c r="C21" s="77">
        <v>43733</v>
      </c>
      <c r="D21" s="78">
        <f>-Dashboard!G16</f>
        <v>-612500</v>
      </c>
      <c r="E21" s="4"/>
      <c r="F21" s="3"/>
      <c r="G21" s="3"/>
      <c r="H21" s="142"/>
      <c r="I21" s="78"/>
      <c r="J21" s="78"/>
      <c r="K21" s="5"/>
      <c r="L21" s="5"/>
    </row>
    <row r="22" spans="2:12" x14ac:dyDescent="0.2">
      <c r="B22" s="142" t="s">
        <v>173</v>
      </c>
      <c r="C22" s="77">
        <f>C23</f>
        <v>43820</v>
      </c>
      <c r="D22" s="78">
        <f>SUM(D23:D26)</f>
        <v>-1702324.25</v>
      </c>
      <c r="E22" s="4">
        <f>(C$4-C22)/365</f>
        <v>2.0520547945205481</v>
      </c>
      <c r="F22" s="3">
        <f t="shared" si="0"/>
        <v>244528.38473287673</v>
      </c>
      <c r="G22" s="3"/>
      <c r="H22" s="142"/>
      <c r="I22" s="78"/>
      <c r="J22" s="78"/>
      <c r="K22" s="5"/>
      <c r="L22" s="5"/>
    </row>
    <row r="23" spans="2:12" x14ac:dyDescent="0.2">
      <c r="B23" s="181" t="s">
        <v>171</v>
      </c>
      <c r="C23" s="77">
        <v>43820</v>
      </c>
      <c r="D23" s="78">
        <f>-Dashboard!G17</f>
        <v>-9945000</v>
      </c>
      <c r="E23" s="4"/>
      <c r="F23" s="3"/>
      <c r="G23" s="3"/>
      <c r="H23" s="181"/>
      <c r="I23" s="78"/>
      <c r="J23" s="78"/>
      <c r="K23" s="5"/>
    </row>
    <row r="24" spans="2:12" x14ac:dyDescent="0.2">
      <c r="B24" s="181" t="s">
        <v>170</v>
      </c>
      <c r="C24" s="77">
        <v>43820</v>
      </c>
      <c r="D24" s="78">
        <f>-Dashboard!G18</f>
        <v>-7079985</v>
      </c>
      <c r="E24" s="4"/>
      <c r="F24" s="3"/>
      <c r="G24" s="3"/>
      <c r="H24" s="181"/>
      <c r="I24" s="78"/>
      <c r="J24" s="78"/>
      <c r="K24" s="5"/>
    </row>
    <row r="25" spans="2:12" x14ac:dyDescent="0.2">
      <c r="B25" s="181" t="s">
        <v>167</v>
      </c>
      <c r="C25" s="77">
        <v>43820</v>
      </c>
      <c r="D25" s="78">
        <f>-Dashboard!G19</f>
        <v>-1137500</v>
      </c>
      <c r="E25" s="4"/>
      <c r="F25" s="3"/>
      <c r="G25" s="3"/>
      <c r="H25" s="181"/>
      <c r="I25" s="78"/>
      <c r="J25" s="78"/>
      <c r="K25" s="5"/>
    </row>
    <row r="26" spans="2:12" x14ac:dyDescent="0.2">
      <c r="B26" s="181" t="s">
        <v>148</v>
      </c>
      <c r="C26" s="77">
        <v>43820</v>
      </c>
      <c r="D26" s="78">
        <f>'GSP Economics Overview'!D25*0.85</f>
        <v>16460160.75</v>
      </c>
      <c r="E26" s="4"/>
      <c r="F26" s="3"/>
      <c r="G26" s="3"/>
      <c r="H26" s="142"/>
      <c r="I26" s="78"/>
      <c r="J26" s="78"/>
      <c r="K26" s="5"/>
      <c r="L26" s="5"/>
    </row>
    <row r="27" spans="2:12" x14ac:dyDescent="0.2">
      <c r="B27" s="142" t="s">
        <v>172</v>
      </c>
      <c r="C27" s="77">
        <v>44166</v>
      </c>
      <c r="D27" s="78">
        <f>-Dashboard!G21</f>
        <v>-14710161.205903322</v>
      </c>
      <c r="E27" s="4">
        <f t="shared" ref="E27" si="1">(C$4-C27)/365</f>
        <v>1.1041095890410959</v>
      </c>
      <c r="F27" s="3">
        <f t="shared" si="0"/>
        <v>1136914.1030644733</v>
      </c>
      <c r="G27" s="3"/>
      <c r="H27" s="61"/>
      <c r="I27" s="78"/>
      <c r="J27" s="78"/>
      <c r="L27" s="5"/>
    </row>
    <row r="28" spans="2:12" x14ac:dyDescent="0.2">
      <c r="B28" s="89" t="s">
        <v>47</v>
      </c>
      <c r="C28" s="90">
        <f>Dashboard!E2</f>
        <v>44934</v>
      </c>
      <c r="D28" s="91">
        <f>D19+D20+D21+D27+D22</f>
        <v>-27457485.455903322</v>
      </c>
      <c r="E28" s="88" t="s">
        <v>45</v>
      </c>
      <c r="F28" s="92">
        <f>SUM(F19:F27)</f>
        <v>3076080.6384822819</v>
      </c>
    </row>
    <row r="29" spans="2:12" x14ac:dyDescent="0.2">
      <c r="D29" s="6"/>
    </row>
    <row r="30" spans="2:12" x14ac:dyDescent="0.2">
      <c r="B30" s="61"/>
      <c r="C30" s="60"/>
    </row>
    <row r="31" spans="2:12" x14ac:dyDescent="0.2">
      <c r="B31" s="139" t="s">
        <v>131</v>
      </c>
      <c r="C31" s="88" t="str">
        <f t="shared" ref="C31:D34" si="2">C18</f>
        <v>Date</v>
      </c>
      <c r="D31" s="88" t="str">
        <f t="shared" si="2"/>
        <v>Pmt</v>
      </c>
      <c r="E31" s="88"/>
      <c r="F31" s="88"/>
    </row>
    <row r="32" spans="2:12" x14ac:dyDescent="0.2">
      <c r="B32" s="79" t="str">
        <f>B19</f>
        <v>Land Payment 1</v>
      </c>
      <c r="C32" s="62">
        <f t="shared" si="2"/>
        <v>43678</v>
      </c>
      <c r="D32" s="5">
        <f t="shared" si="2"/>
        <v>-2086500</v>
      </c>
      <c r="E32" s="7"/>
      <c r="F32" s="7"/>
    </row>
    <row r="33" spans="2:6" x14ac:dyDescent="0.2">
      <c r="B33" s="79" t="str">
        <f>B20</f>
        <v>Land Payment 2</v>
      </c>
      <c r="C33" s="62">
        <f t="shared" si="2"/>
        <v>43733</v>
      </c>
      <c r="D33" s="5">
        <f t="shared" si="2"/>
        <v>-8346000</v>
      </c>
      <c r="E33" s="7"/>
      <c r="F33" s="7"/>
    </row>
    <row r="34" spans="2:6" x14ac:dyDescent="0.2">
      <c r="B34" s="79" t="str">
        <f>B21</f>
        <v xml:space="preserve">Seller Expense 1 </v>
      </c>
      <c r="C34" s="62">
        <f t="shared" si="2"/>
        <v>43733</v>
      </c>
      <c r="D34" s="5">
        <f t="shared" si="2"/>
        <v>-612500</v>
      </c>
      <c r="E34" s="7"/>
      <c r="F34" s="7"/>
    </row>
    <row r="35" spans="2:6" x14ac:dyDescent="0.2">
      <c r="B35" s="79" t="s">
        <v>173</v>
      </c>
      <c r="C35" s="62">
        <f t="shared" ref="C35" si="3">C23</f>
        <v>43820</v>
      </c>
      <c r="D35" s="5">
        <f>D22</f>
        <v>-1702324.25</v>
      </c>
      <c r="E35" s="7"/>
      <c r="F35" s="7"/>
    </row>
    <row r="36" spans="2:6" x14ac:dyDescent="0.2">
      <c r="B36" s="79" t="str">
        <f>B27</f>
        <v>Construction Equity Payment</v>
      </c>
      <c r="C36" s="62">
        <f>C27</f>
        <v>44166</v>
      </c>
      <c r="D36" s="5">
        <f>D27</f>
        <v>-14710161.205903322</v>
      </c>
      <c r="E36" s="7"/>
      <c r="F36" s="7"/>
    </row>
    <row r="37" spans="2:6" x14ac:dyDescent="0.2">
      <c r="B37" s="79" t="s">
        <v>158</v>
      </c>
      <c r="C37" s="62">
        <v>44866</v>
      </c>
      <c r="D37" s="5">
        <f>F28</f>
        <v>3076080.6384822819</v>
      </c>
    </row>
    <row r="38" spans="2:6" x14ac:dyDescent="0.2">
      <c r="B38" s="79" t="s">
        <v>159</v>
      </c>
      <c r="C38" s="62">
        <v>44866</v>
      </c>
      <c r="D38" s="5">
        <f>-D28</f>
        <v>27457485.455903322</v>
      </c>
    </row>
    <row r="39" spans="2:6" x14ac:dyDescent="0.2">
      <c r="B39" s="79" t="s">
        <v>160</v>
      </c>
      <c r="C39" s="62">
        <f>C4</f>
        <v>44569</v>
      </c>
      <c r="D39" s="5">
        <f>C14</f>
        <v>12117961.945883995</v>
      </c>
    </row>
    <row r="40" spans="2:6" x14ac:dyDescent="0.2">
      <c r="B40" s="89" t="s">
        <v>47</v>
      </c>
      <c r="C40" s="90"/>
      <c r="D40" s="91">
        <f>SUM(D32:D39)</f>
        <v>15194042.584366275</v>
      </c>
      <c r="E40" s="88"/>
      <c r="F40" s="92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Dashboard</vt:lpstr>
      <vt:lpstr>Base Case - Office &amp; Commercial</vt:lpstr>
      <vt:lpstr>GSP Economics Overview</vt:lpstr>
      <vt:lpstr>IRR</vt:lpstr>
      <vt:lpstr>Dashboard!Print_Area</vt:lpstr>
      <vt:lpstr>IRR!Print_Area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Avi Staiman</cp:lastModifiedBy>
  <cp:lastPrinted>2019-02-27T18:39:56Z</cp:lastPrinted>
  <dcterms:created xsi:type="dcterms:W3CDTF">2019-02-07T14:40:01Z</dcterms:created>
  <dcterms:modified xsi:type="dcterms:W3CDTF">2019-08-14T12:10:57Z</dcterms:modified>
</cp:coreProperties>
</file>